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jonat\Documents\aDOCUMENTS\CLASS\CE275\Reference Material\Seismic Slope Stability &amp; Earth Pressures\"/>
    </mc:Choice>
  </mc:AlternateContent>
  <xr:revisionPtr revIDLastSave="0" documentId="8_{F607FA7B-A759-4B5F-B9DA-93517401CD97}" xr6:coauthVersionLast="47" xr6:coauthVersionMax="47" xr10:uidLastSave="{00000000-0000-0000-0000-000000000000}"/>
  <bookViews>
    <workbookView xWindow="29610" yWindow="-120" windowWidth="28110" windowHeight="16440" tabRatio="851" activeTab="5" xr2:uid="{00000000-000D-0000-FFFF-FFFF00000000}"/>
  </bookViews>
  <sheets>
    <sheet name="Seismic Displacement_Crustal" sheetId="1" r:id="rId1"/>
    <sheet name="Pseudo. Seismic Coeff_ Crustal" sheetId="3" r:id="rId2"/>
    <sheet name="Model Coefficients_Crustal" sheetId="2" r:id="rId3"/>
    <sheet name="Seismic Displacement_Subduction" sheetId="6" r:id="rId4"/>
    <sheet name="Pseudo. Seismic Coeff_ Subduc." sheetId="8" r:id="rId5"/>
    <sheet name="Model Coefficients_Subduction" sheetId="7" r:id="rId6"/>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8" l="1"/>
  <c r="L25" i="3"/>
  <c r="B9" i="3"/>
  <c r="B8" i="8" l="1"/>
  <c r="AK49" i="8" l="1"/>
  <c r="R48" i="8" s="1"/>
  <c r="AP66" i="8"/>
  <c r="R65" i="8" s="1"/>
  <c r="AP67" i="8"/>
  <c r="R66" i="8" s="1"/>
  <c r="AP60" i="8"/>
  <c r="R59" i="8" s="1"/>
  <c r="AL69" i="8"/>
  <c r="AC69" i="8"/>
  <c r="AP69" i="8" s="1"/>
  <c r="AL68" i="8"/>
  <c r="AC68" i="8"/>
  <c r="AL65" i="8"/>
  <c r="AC65" i="8"/>
  <c r="AL64" i="8"/>
  <c r="AC64" i="8"/>
  <c r="AP64" i="8" s="1"/>
  <c r="R63" i="8" s="1"/>
  <c r="AL63" i="8"/>
  <c r="AC63" i="8"/>
  <c r="AP63" i="8" s="1"/>
  <c r="R62" i="8" s="1"/>
  <c r="AL62" i="8"/>
  <c r="AC62" i="8"/>
  <c r="AP62" i="8" s="1"/>
  <c r="R61" i="8" s="1"/>
  <c r="AL61" i="8"/>
  <c r="AC61" i="8"/>
  <c r="AP61" i="8" s="1"/>
  <c r="R60" i="8" s="1"/>
  <c r="AK46" i="8"/>
  <c r="R45" i="8" s="1"/>
  <c r="AK47" i="8"/>
  <c r="R46" i="8" s="1"/>
  <c r="AK40" i="8"/>
  <c r="R39" i="8" s="1"/>
  <c r="AH50" i="8"/>
  <c r="AC50" i="8"/>
  <c r="AH48" i="8"/>
  <c r="AC48" i="8"/>
  <c r="AH45" i="8"/>
  <c r="AC45" i="8"/>
  <c r="AH44" i="8"/>
  <c r="AC44" i="8"/>
  <c r="AH43" i="8"/>
  <c r="AC43" i="8"/>
  <c r="AH42" i="8"/>
  <c r="AC42" i="8"/>
  <c r="AK42" i="8" s="1"/>
  <c r="R41" i="8" s="1"/>
  <c r="AH41" i="8"/>
  <c r="AC41" i="8"/>
  <c r="AK45" i="8" l="1"/>
  <c r="R44" i="8" s="1"/>
  <c r="AP65" i="8"/>
  <c r="R64" i="8" s="1"/>
  <c r="AK43" i="8"/>
  <c r="R42" i="8" s="1"/>
  <c r="AK48" i="8"/>
  <c r="R47" i="8" s="1"/>
  <c r="AP68" i="8"/>
  <c r="R67" i="8" s="1"/>
  <c r="AK41" i="8"/>
  <c r="R40" i="8" s="1"/>
  <c r="AK44" i="8"/>
  <c r="R43" i="8" s="1"/>
  <c r="AK50" i="8"/>
  <c r="U58" i="8"/>
  <c r="U38" i="8"/>
  <c r="V50" i="7"/>
  <c r="V51" i="7"/>
  <c r="V52" i="7"/>
  <c r="V53" i="7"/>
  <c r="V54" i="7"/>
  <c r="V55" i="7"/>
  <c r="V56" i="7"/>
  <c r="V57" i="7"/>
  <c r="V58" i="7"/>
  <c r="V49" i="7"/>
  <c r="T3" i="7"/>
  <c r="Q3" i="7"/>
  <c r="T2" i="7"/>
  <c r="Q2" i="7"/>
  <c r="T1" i="7"/>
  <c r="Q1" i="7"/>
  <c r="N42" i="7"/>
  <c r="N40" i="7"/>
  <c r="N34" i="7"/>
  <c r="N35" i="7"/>
  <c r="N36" i="7"/>
  <c r="N37" i="7"/>
  <c r="N33" i="7"/>
  <c r="E42" i="7"/>
  <c r="E40" i="7"/>
  <c r="E34" i="7"/>
  <c r="E35" i="7"/>
  <c r="E36" i="7"/>
  <c r="E37" i="7"/>
  <c r="E33" i="7"/>
  <c r="E24" i="7"/>
  <c r="E18" i="7"/>
  <c r="E19" i="7"/>
  <c r="E20" i="7"/>
  <c r="E21" i="7"/>
  <c r="E17" i="7"/>
  <c r="N25" i="7"/>
  <c r="E25" i="7"/>
  <c r="N20" i="7"/>
  <c r="N24" i="7"/>
  <c r="N21" i="7"/>
  <c r="N19" i="7"/>
  <c r="N18" i="7"/>
  <c r="N17" i="7"/>
  <c r="B10" i="6"/>
  <c r="B10" i="1"/>
  <c r="R41" i="7" l="1"/>
  <c r="R37" i="7"/>
  <c r="U43" i="8"/>
  <c r="U44" i="8" s="1"/>
  <c r="U39" i="8"/>
  <c r="U60" i="8"/>
  <c r="U40" i="8"/>
  <c r="U59" i="8"/>
  <c r="U63" i="8"/>
  <c r="U64" i="8" s="1"/>
  <c r="R33" i="7"/>
  <c r="R21" i="7"/>
  <c r="R20" i="7"/>
  <c r="R39" i="7"/>
  <c r="R5" i="7"/>
  <c r="R38" i="7"/>
  <c r="R10" i="7"/>
  <c r="R8" i="7"/>
  <c r="R25" i="7"/>
  <c r="R17" i="7"/>
  <c r="R35" i="7"/>
  <c r="R9" i="7"/>
  <c r="R16" i="7"/>
  <c r="R19" i="7"/>
  <c r="R36" i="7"/>
  <c r="R7" i="7"/>
  <c r="R23" i="7"/>
  <c r="R32" i="7"/>
  <c r="R34" i="7"/>
  <c r="R42" i="7"/>
  <c r="R22" i="7"/>
  <c r="R40" i="7"/>
  <c r="R6" i="7"/>
  <c r="R24" i="7"/>
  <c r="R18" i="7"/>
  <c r="X55" i="7" l="1"/>
  <c r="B18" i="8"/>
  <c r="B17" i="8"/>
  <c r="U45" i="8"/>
  <c r="B19" i="8"/>
  <c r="U41" i="8"/>
  <c r="U61" i="8"/>
  <c r="X50" i="7"/>
  <c r="W55" i="7"/>
  <c r="W56" i="7"/>
  <c r="W57" i="7"/>
  <c r="W49" i="7"/>
  <c r="W50" i="7"/>
  <c r="W58" i="7"/>
  <c r="W51" i="7"/>
  <c r="W52" i="7"/>
  <c r="W53" i="7"/>
  <c r="W54" i="7"/>
  <c r="Y50" i="7"/>
  <c r="Z50" i="7" s="1"/>
  <c r="H10" i="6" s="1"/>
  <c r="Y58" i="7"/>
  <c r="Z58" i="7" s="1"/>
  <c r="H18" i="6" s="1"/>
  <c r="Y51" i="7"/>
  <c r="Z51" i="7" s="1"/>
  <c r="H11" i="6" s="1"/>
  <c r="Y49" i="7"/>
  <c r="Z49" i="7" s="1"/>
  <c r="H9" i="6" s="1"/>
  <c r="Y56" i="7"/>
  <c r="Z56" i="7" s="1"/>
  <c r="H16" i="6" s="1"/>
  <c r="Y52" i="7"/>
  <c r="Z52" i="7" s="1"/>
  <c r="H12" i="6" s="1"/>
  <c r="Y53" i="7"/>
  <c r="Z53" i="7" s="1"/>
  <c r="H13" i="6" s="1"/>
  <c r="Y54" i="7"/>
  <c r="Z54" i="7" s="1"/>
  <c r="H14" i="6" s="1"/>
  <c r="Y55" i="7"/>
  <c r="Z55" i="7" s="1"/>
  <c r="H15" i="6" s="1"/>
  <c r="Y57" i="7"/>
  <c r="Z57" i="7" s="1"/>
  <c r="H17" i="6" s="1"/>
  <c r="X58" i="7"/>
  <c r="X51" i="7"/>
  <c r="X53" i="7"/>
  <c r="X56" i="7"/>
  <c r="X54" i="7"/>
  <c r="X49" i="7"/>
  <c r="X52" i="7"/>
  <c r="X57" i="7"/>
  <c r="B24" i="6"/>
  <c r="Q50" i="7"/>
  <c r="B27" i="6" s="1"/>
  <c r="Q49" i="7"/>
  <c r="Q48" i="7"/>
  <c r="Q17" i="2"/>
  <c r="U17" i="2" s="1"/>
  <c r="P17" i="2"/>
  <c r="T17" i="2" s="1"/>
  <c r="I15" i="6" l="1"/>
  <c r="L15" i="6" s="1"/>
  <c r="U65" i="8"/>
  <c r="E19" i="8" s="1"/>
  <c r="B23" i="8" s="1"/>
  <c r="B20" i="8"/>
  <c r="I18" i="6"/>
  <c r="K18" i="6" s="1"/>
  <c r="I11" i="6"/>
  <c r="J11" i="6" s="1"/>
  <c r="I10" i="6"/>
  <c r="J10" i="6" s="1"/>
  <c r="I9" i="6"/>
  <c r="I17" i="6"/>
  <c r="L17" i="6" s="1"/>
  <c r="I14" i="6"/>
  <c r="L14" i="6" s="1"/>
  <c r="I16" i="6"/>
  <c r="J16" i="6" s="1"/>
  <c r="I13" i="6"/>
  <c r="L13" i="6" s="1"/>
  <c r="I12" i="6"/>
  <c r="L12" i="6" s="1"/>
  <c r="B23" i="6"/>
  <c r="B31" i="6" s="1"/>
  <c r="B13" i="1"/>
  <c r="K15" i="6" l="1"/>
  <c r="J15" i="6"/>
  <c r="L10" i="6"/>
  <c r="K10" i="6"/>
  <c r="K14" i="6"/>
  <c r="K17" i="6"/>
  <c r="J14" i="6"/>
  <c r="K11" i="6"/>
  <c r="L11" i="6"/>
  <c r="J17" i="6"/>
  <c r="L18" i="6"/>
  <c r="J18" i="6"/>
  <c r="L16" i="6"/>
  <c r="K16" i="6"/>
  <c r="K13" i="6"/>
  <c r="J13" i="6"/>
  <c r="K12" i="6"/>
  <c r="J12" i="6"/>
  <c r="J9" i="6" l="1"/>
  <c r="K9" i="6"/>
  <c r="L9" i="6"/>
  <c r="E23" i="6"/>
  <c r="B28" i="6"/>
  <c r="B29" i="6"/>
  <c r="B30" i="6"/>
  <c r="AG5" i="2" l="1"/>
  <c r="AG6" i="2"/>
  <c r="AG7" i="2"/>
  <c r="AG8" i="2"/>
  <c r="AG9" i="2"/>
  <c r="AG10" i="2"/>
  <c r="AG11" i="2"/>
  <c r="AF5" i="2"/>
  <c r="AF6" i="2"/>
  <c r="AF7" i="2"/>
  <c r="AF8" i="2"/>
  <c r="AF9" i="2"/>
  <c r="AF10" i="2"/>
  <c r="AF11" i="2"/>
  <c r="AE5" i="2"/>
  <c r="AE6" i="2"/>
  <c r="AE7" i="2"/>
  <c r="AE8" i="2"/>
  <c r="AE9" i="2"/>
  <c r="AE10" i="2"/>
  <c r="AE11" i="2"/>
  <c r="AE4" i="2"/>
  <c r="AD5" i="2"/>
  <c r="AD6" i="2"/>
  <c r="AD7" i="2"/>
  <c r="AD8" i="2"/>
  <c r="AD9" i="2"/>
  <c r="AD10" i="2"/>
  <c r="AD11" i="2"/>
  <c r="AD4" i="2"/>
  <c r="B15" i="1" l="1"/>
  <c r="B18" i="3"/>
  <c r="AG4" i="2" l="1"/>
  <c r="AF4" i="2"/>
  <c r="I9" i="1" s="1"/>
  <c r="I16" i="1"/>
  <c r="M26" i="2"/>
  <c r="L26" i="2"/>
  <c r="M17" i="2"/>
  <c r="L17" i="2"/>
  <c r="V11" i="2"/>
  <c r="P11" i="2"/>
  <c r="H11" i="2"/>
  <c r="B27" i="1" s="1"/>
  <c r="A11" i="2"/>
  <c r="W24" i="2"/>
  <c r="W19" i="2"/>
  <c r="W20" i="2"/>
  <c r="W21" i="2"/>
  <c r="W22" i="2"/>
  <c r="W18" i="2"/>
  <c r="I15" i="1" l="1"/>
  <c r="I14" i="1"/>
  <c r="I13" i="1"/>
  <c r="I12" i="1"/>
  <c r="I11" i="1"/>
  <c r="I10" i="1"/>
  <c r="J15" i="2"/>
  <c r="B26" i="2" l="1"/>
  <c r="B19" i="2"/>
  <c r="B27" i="2"/>
  <c r="B21" i="2"/>
  <c r="B17" i="2"/>
  <c r="S17" i="2"/>
  <c r="S26" i="2"/>
  <c r="R26" i="2"/>
  <c r="U26" i="2"/>
  <c r="T26" i="2"/>
  <c r="K18" i="2"/>
  <c r="K19" i="2" s="1"/>
  <c r="K20" i="2" s="1"/>
  <c r="K21" i="2" s="1"/>
  <c r="K22" i="2" s="1"/>
  <c r="K23" i="2" s="1"/>
  <c r="K24" i="2" s="1"/>
  <c r="K25" i="2" s="1"/>
  <c r="K26" i="2" s="1"/>
  <c r="R18" i="2"/>
  <c r="B18" i="2" s="1"/>
  <c r="S18" i="2"/>
  <c r="T18" i="2"/>
  <c r="U18" i="2"/>
  <c r="R19" i="2"/>
  <c r="S19" i="2"/>
  <c r="T19" i="2"/>
  <c r="U19" i="2"/>
  <c r="R20" i="2"/>
  <c r="B20" i="2" s="1"/>
  <c r="S20" i="2"/>
  <c r="T20" i="2"/>
  <c r="U20" i="2"/>
  <c r="R21" i="2"/>
  <c r="S21" i="2"/>
  <c r="T21" i="2"/>
  <c r="U21" i="2"/>
  <c r="R22" i="2"/>
  <c r="B22" i="2" s="1"/>
  <c r="S22" i="2"/>
  <c r="T22" i="2"/>
  <c r="U22" i="2"/>
  <c r="S23" i="2"/>
  <c r="U23" i="2"/>
  <c r="R24" i="2"/>
  <c r="B24" i="2" s="1"/>
  <c r="S24" i="2"/>
  <c r="T24" i="2"/>
  <c r="U24" i="2"/>
  <c r="R25" i="2"/>
  <c r="B25" i="2" s="1"/>
  <c r="S25" i="2"/>
  <c r="T25" i="2"/>
  <c r="U25" i="2"/>
  <c r="R27" i="2"/>
  <c r="S27" i="2"/>
  <c r="T27" i="2"/>
  <c r="U27" i="2"/>
  <c r="P23" i="2"/>
  <c r="T23" i="2" s="1"/>
  <c r="N23" i="2"/>
  <c r="R23" i="2" s="1"/>
  <c r="B23" i="2" s="1"/>
  <c r="N17" i="2"/>
  <c r="R17" i="2" s="1"/>
  <c r="K43" i="2"/>
  <c r="K44" i="2" s="1"/>
  <c r="K45" i="2" s="1"/>
  <c r="K46" i="2" s="1"/>
  <c r="K47" i="2" s="1"/>
  <c r="K48" i="2" s="1"/>
  <c r="K49" i="2" s="1"/>
  <c r="K50" i="2" s="1"/>
  <c r="K51" i="2" s="1"/>
  <c r="K32" i="2"/>
  <c r="K33" i="2" s="1"/>
  <c r="K34" i="2" s="1"/>
  <c r="K35" i="2" s="1"/>
  <c r="K36" i="2" s="1"/>
  <c r="K37" i="2" s="1"/>
  <c r="K38" i="2" s="1"/>
  <c r="K39" i="2" s="1"/>
  <c r="K40" i="2" s="1"/>
  <c r="J12" i="1" l="1"/>
  <c r="J13" i="1"/>
  <c r="J14" i="1"/>
  <c r="J15" i="1"/>
  <c r="J10" i="1"/>
  <c r="J11" i="1"/>
  <c r="J16" i="1"/>
  <c r="J9" i="1"/>
  <c r="B23" i="1"/>
  <c r="B17" i="3"/>
  <c r="B16" i="3"/>
  <c r="B19" i="3" l="1"/>
  <c r="V1" i="3"/>
  <c r="V2" i="3" s="1"/>
  <c r="B23" i="3" s="1"/>
  <c r="B24" i="1"/>
  <c r="M9" i="1" s="1"/>
  <c r="B31" i="1" l="1"/>
  <c r="L13" i="1"/>
  <c r="L12" i="1"/>
  <c r="L16" i="1"/>
  <c r="L10" i="1"/>
  <c r="L14" i="1"/>
  <c r="L9" i="1"/>
  <c r="L15" i="1"/>
  <c r="L11" i="1"/>
  <c r="K12" i="1"/>
  <c r="K11" i="1"/>
  <c r="K10" i="1"/>
  <c r="K9" i="1"/>
  <c r="K13" i="1"/>
  <c r="K14" i="1"/>
  <c r="K15" i="1"/>
  <c r="K16" i="1"/>
  <c r="M13" i="1"/>
  <c r="M16" i="1"/>
  <c r="M11" i="1"/>
  <c r="M15" i="1"/>
  <c r="M10" i="1"/>
  <c r="M12" i="1"/>
  <c r="M14" i="1"/>
  <c r="B20" i="3"/>
  <c r="B29" i="1" l="1"/>
  <c r="B30" i="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R1</author>
  </authors>
  <commentList>
    <comment ref="L17" authorId="0" shapeId="0" xr:uid="{00000000-0006-0000-0200-000001000000}">
      <text>
        <r>
          <rPr>
            <b/>
            <sz val="9"/>
            <color indexed="81"/>
            <rFont val="Tahoma"/>
            <family val="2"/>
          </rPr>
          <t>R1:</t>
        </r>
        <r>
          <rPr>
            <sz val="9"/>
            <color indexed="81"/>
            <rFont val="Tahoma"/>
            <family val="2"/>
          </rPr>
          <t xml:space="preserve">
Change at PGV=115
</t>
        </r>
      </text>
    </comment>
    <comment ref="M17" authorId="0" shapeId="0" xr:uid="{00000000-0006-0000-0200-000002000000}">
      <text>
        <r>
          <rPr>
            <b/>
            <sz val="9"/>
            <color indexed="81"/>
            <rFont val="Tahoma"/>
            <family val="2"/>
          </rPr>
          <t>R1:</t>
        </r>
        <r>
          <rPr>
            <sz val="9"/>
            <color indexed="81"/>
            <rFont val="Tahoma"/>
            <family val="2"/>
          </rPr>
          <t xml:space="preserve">
Change at PGV=115</t>
        </r>
      </text>
    </comment>
    <comment ref="L26" authorId="0" shapeId="0" xr:uid="{00000000-0006-0000-0200-000003000000}">
      <text>
        <r>
          <rPr>
            <b/>
            <sz val="9"/>
            <color indexed="81"/>
            <rFont val="Tahoma"/>
            <family val="2"/>
          </rPr>
          <t>R1:</t>
        </r>
        <r>
          <rPr>
            <sz val="9"/>
            <color indexed="81"/>
            <rFont val="Tahoma"/>
            <family val="2"/>
          </rPr>
          <t xml:space="preserve">
Change at PGV=115</t>
        </r>
      </text>
    </comment>
    <comment ref="M26" authorId="0" shapeId="0" xr:uid="{00000000-0006-0000-0200-000004000000}">
      <text>
        <r>
          <rPr>
            <b/>
            <sz val="9"/>
            <color rgb="FF000000"/>
            <rFont val="Tahoma"/>
            <family val="2"/>
          </rPr>
          <t>R1:</t>
        </r>
        <r>
          <rPr>
            <sz val="9"/>
            <color rgb="FF000000"/>
            <rFont val="Tahoma"/>
            <family val="2"/>
          </rPr>
          <t xml:space="preserve">
</t>
        </r>
        <r>
          <rPr>
            <sz val="9"/>
            <color rgb="FF000000"/>
            <rFont val="Tahoma"/>
            <family val="2"/>
          </rPr>
          <t>Change at PGV=115</t>
        </r>
      </text>
    </comment>
  </commentList>
</comments>
</file>

<file path=xl/sharedStrings.xml><?xml version="1.0" encoding="utf-8"?>
<sst xmlns="http://schemas.openxmlformats.org/spreadsheetml/2006/main" count="719" uniqueCount="287">
  <si>
    <t>SEE NOTES BELOW FOR GUIDANCE IN THE USE OF SPREADSHEET</t>
  </si>
  <si>
    <t>Input Parameters</t>
  </si>
  <si>
    <t>Dependence on ky</t>
  </si>
  <si>
    <t>Based on pseudostatic analysis</t>
  </si>
  <si>
    <t>ky</t>
  </si>
  <si>
    <t>P(D="0")</t>
  </si>
  <si>
    <t>D (cm)</t>
  </si>
  <si>
    <t>Dmedian (cm)</t>
  </si>
  <si>
    <t>D-84% (cm)</t>
  </si>
  <si>
    <t>D-16% (cm)</t>
  </si>
  <si>
    <t>seconds</t>
  </si>
  <si>
    <t>1D: Ts=4H/Vs   2D: Ts=2.6H/Vs</t>
  </si>
  <si>
    <t>g</t>
  </si>
  <si>
    <t>Additional Input Parameters</t>
  </si>
  <si>
    <t>there is no material above it.</t>
  </si>
  <si>
    <t>Probability of Exceedance #1 (P1)</t>
  </si>
  <si>
    <t>%</t>
  </si>
  <si>
    <t>Probability of Exceedance #2 (P2)</t>
  </si>
  <si>
    <t>Probability of Exceedance #3 (P3)</t>
  </si>
  <si>
    <t>Displacement Threshold (d_threshold)</t>
  </si>
  <si>
    <t>cm</t>
  </si>
  <si>
    <t>Intermediate Calculated Parameters</t>
  </si>
  <si>
    <t>Non-Zero Seismic Displacement Est (D)</t>
  </si>
  <si>
    <t>Standard Deviation of Non-Zero Seismic D</t>
  </si>
  <si>
    <t>Results</t>
  </si>
  <si>
    <t>Probability of Negligible Displ. (P(D=0))</t>
  </si>
  <si>
    <t xml:space="preserve">D1 </t>
  </si>
  <si>
    <t xml:space="preserve">D2 </t>
  </si>
  <si>
    <t>D3</t>
  </si>
  <si>
    <t>P(D&gt;d_threshold)</t>
  </si>
  <si>
    <t>Notes</t>
  </si>
  <si>
    <t>1. Values highlighted in blue are input parameters, and results are presented in the table with the yellow heading.</t>
  </si>
  <si>
    <t>2. Probability of Exceedance is the desired probability of exceeding a particular displacement value.</t>
  </si>
  <si>
    <t>3. Displacements D1, D2, and D3 correspond to P1, P2, and P3, respectively.</t>
  </si>
  <si>
    <t xml:space="preserve">    (e.g., the probability of exceeding displacement D1 is P1)</t>
  </si>
  <si>
    <t>4. The 16%, 50%, and 84% percentile displacement values at selected ky values are shown to the right.</t>
  </si>
  <si>
    <t>5. Calculated seismic displacements are due to deviatoric deformation only (add in volumetrically induced movement).</t>
  </si>
  <si>
    <t>a</t>
  </si>
  <si>
    <t>b</t>
  </si>
  <si>
    <t>c</t>
  </si>
  <si>
    <t>d</t>
  </si>
  <si>
    <t>Model for Displacement Estimate</t>
  </si>
  <si>
    <t>e</t>
  </si>
  <si>
    <t>f</t>
  </si>
  <si>
    <t>h</t>
  </si>
  <si>
    <t>s</t>
  </si>
  <si>
    <t>For Ts &gt; 0.7 s</t>
  </si>
  <si>
    <t>Da (cm)</t>
  </si>
  <si>
    <t>Ts (s)</t>
  </si>
  <si>
    <t>Initial Fundamental Period of Slide Mass</t>
  </si>
  <si>
    <t>Degraded Period of Slide Mass</t>
  </si>
  <si>
    <t>Mw</t>
  </si>
  <si>
    <t>Moment Magnitude</t>
  </si>
  <si>
    <t>Intermediate Parameters</t>
  </si>
  <si>
    <t>x1 =</t>
  </si>
  <si>
    <t>constant</t>
  </si>
  <si>
    <t>a =</t>
  </si>
  <si>
    <t>b =</t>
  </si>
  <si>
    <t>x3 =</t>
  </si>
  <si>
    <t>Pseudostatic k value</t>
  </si>
  <si>
    <r>
      <t>k</t>
    </r>
    <r>
      <rPr>
        <sz val="10"/>
        <rFont val="Arial"/>
        <family val="2"/>
      </rPr>
      <t xml:space="preserve"> =</t>
    </r>
  </si>
  <si>
    <t>x2 =</t>
  </si>
  <si>
    <t>For Ts &lt;= 0.7 s</t>
  </si>
  <si>
    <t>Coefficients</t>
  </si>
  <si>
    <t>Values</t>
  </si>
  <si>
    <r>
      <t>Moment Magnitude (Mw</t>
    </r>
    <r>
      <rPr>
        <sz val="10"/>
        <color theme="1"/>
        <rFont val="Arial"/>
        <family val="2"/>
      </rPr>
      <t>)</t>
    </r>
  </si>
  <si>
    <t>11. Vs = weighted avg. shear wave velocity for the sliding mass, e.g., for 2 layers, Vs = [(h1)(Vs1) + (h2)(Vs2)]/(h1 + h2)</t>
  </si>
  <si>
    <t>6. ky may range between 0.01 and 0.8, Ts between 0 and 2 s, Sa between 0.002 and 4.5 g, M between 5.5 and 9</t>
  </si>
  <si>
    <t>i</t>
  </si>
  <si>
    <t>PGV</t>
  </si>
  <si>
    <t>cm/s</t>
  </si>
  <si>
    <t>case</t>
  </si>
  <si>
    <t>Model1</t>
  </si>
  <si>
    <t>Model2</t>
  </si>
  <si>
    <t>Model3</t>
  </si>
  <si>
    <t>Model4</t>
  </si>
  <si>
    <t>Model5</t>
  </si>
  <si>
    <t>Model6</t>
  </si>
  <si>
    <t>Model7</t>
  </si>
  <si>
    <t>Model8</t>
  </si>
  <si>
    <t>Model9</t>
  </si>
  <si>
    <t>Model10</t>
  </si>
  <si>
    <t>j</t>
  </si>
  <si>
    <t xml:space="preserve"> -7.415+0.229</t>
  </si>
  <si>
    <t xml:space="preserve">      -6.462+0.227</t>
  </si>
  <si>
    <t xml:space="preserve">       -8.615+0.224</t>
  </si>
  <si>
    <t xml:space="preserve">       -7.718+0.221</t>
  </si>
  <si>
    <t xml:space="preserve">      0.976-3.834</t>
  </si>
  <si>
    <t xml:space="preserve">       1.069-3.813</t>
  </si>
  <si>
    <t xml:space="preserve">        0.928-3.789</t>
  </si>
  <si>
    <t xml:space="preserve">        1.031-3.762</t>
  </si>
  <si>
    <t>(c1+c2*log(ky)+c3*(log(ky))^2+c4*log(ky)*log(sa)+c5*log(sa)+c6*(log(sa))^2+c7*ts+c8*(ts)^2+c9*log(PGV)+c10*(Mag))</t>
  </si>
  <si>
    <t>Ts2</t>
  </si>
  <si>
    <t>PGV&gt;=150</t>
  </si>
  <si>
    <t>D50,Ts&lt;0.1</t>
  </si>
  <si>
    <t>D50,Ts&gt;0.1</t>
  </si>
  <si>
    <t>D100,Ts&lt;0.1</t>
  </si>
  <si>
    <t>D100,Ts&gt;0.1</t>
  </si>
  <si>
    <t>(a)</t>
  </si>
  <si>
    <t>(b)</t>
  </si>
  <si>
    <t>(c)</t>
  </si>
  <si>
    <t>Procedure for Estimating Shear-Induced Seismic Slope Displacement for Shallow Crustal Earthquakes</t>
  </si>
  <si>
    <t>ln(D)=a+blnky + clnky2 + dlnky*lnSA13 + e*ln(SA13) + f*[ln(SA13)]^2 + g*Ts + h*(M)+i*Ts^2+j*ln(PGV)</t>
  </si>
  <si>
    <t>Ts&gt;0.1</t>
  </si>
  <si>
    <t>Deterministic/Pseudoprobabilistic based</t>
  </si>
  <si>
    <t>Pulses</t>
  </si>
  <si>
    <t>PGV&lt;150</t>
  </si>
  <si>
    <t>Ts&lt;0.1</t>
  </si>
  <si>
    <t>All PGV</t>
  </si>
  <si>
    <t>Model11</t>
  </si>
  <si>
    <t>Model12</t>
  </si>
  <si>
    <t>Ts</t>
  </si>
  <si>
    <t>IF($K$14=1,M16,IF($K$14=2,N16,IF($K$14=3,O16,IF($K$14=4,P16,IF($K$14=5,Q16,IF($K$14=6,R16,IF($K$14=7,S16,IF($K$14=8,T16,IF($K$14=9,U16,IF($K$14=10,V16))))))))))</t>
  </si>
  <si>
    <t>IF(AND('Seismic Displacement_Crustal'!B13&lt;60,'Seismic Displacement_Crustal'!B9&lt;0.1),1,IF(AND('Seismic Displacement_Crustal'!B13&lt;60,'Seismic Displacement_Crustal'!B9&gt;=0.1),2,IF(AND('Seismic Displacement_Crustal'!B13&gt;=60,'Seismic Displacement_Crustal'!B13&lt;150,'Seismic Displacement_Crustal'!B9&lt;0.1,'Seismic Displacement_Crustal'!B14=50),3,IF(AND('Seismic Displacement_Crustal'!B13&gt;=60,'Seismic Displacement_Crustal'!B13&lt;150,'Seismic Displacement_Crustal'!B9&gt;=0.1,'Seismic Displacement_Crustal'!B14=50),4,IF(AND('Seismic Displacement_Crustal'!B13&gt;=60,'Seismic Displacement_Crustal'!B13&lt;150,'Seismic Displacement_Crustal'!B9&lt;0.1,'Seismic Displacement_Crustal'!B14=100),5,IF(AND('Seismic Displacement_Crustal'!B13&gt;=60,'Seismic Displacement_Crustal'!B13&lt;150,'Seismic Displacement_Crustal'!B9&gt;=0.1,'Seismic Displacement_Crustal'!B14=100),6,IF(AND('Seismic Displacement_Crustal'!B13&gt;=150,'Seismic Displacement_Crustal'!B9&lt;0.1,'Seismic Displacement_Crustal'!B14=50),7,IF(AND('Seismic Displacement_Crustal'!B13&gt;=150,'Seismic Displacement_Crustal'!B9&gt;=0.1,'Seismic Displacement_Crustal'!B14=50),8,IF(AND('Seismic Displacement_Crustal'!B13&gt;=150,'Seismic Displacement_Crustal'!B9&lt;0.1,'Seismic Displacement_Crustal'!B14=100),9,IF(AND('Seismic Displacement_Crustal'!B13&gt;=150,'Seismic Displacement_Crustal'!B9&gt;=0.1,'Seismic Displacement_Crustal'!B14=100),10,100))))))))))</t>
  </si>
  <si>
    <t>Case</t>
  </si>
  <si>
    <t>OrdinaryGM (EQ2&amp;3)</t>
  </si>
  <si>
    <t>PulsesD100 (EQ4&amp;5)</t>
  </si>
  <si>
    <t>PulsesD50 (EQ6&amp;7)</t>
  </si>
  <si>
    <t>IF(AND('Seismic Displacement_Crustal'!B13&lt;1000,'Seismic Displacement_Crustal'!B9&lt;0.1,'Seismic Displacement_Crustal'!B7="OrdinaryGM (EQ2&amp;3)"),1,IF(AND('Seismic Displacement_Crustal'!B13&lt;1000,'Seismic Displacement_Crustal'!B9&gt;=0.1,'Seismic Displacement_Crustal'!B7="OrdinaryGM (EQ2&amp;3)"),2,IF(AND('Seismic Displacement_Crustal'!B13&gt;=0,'Seismic Displacement_Crustal'!B13&lt;150,'Seismic Displacement_Crustal'!B9&lt;0.1,'Seismic Displacement_Crustal'!B14=50,'Seismic Displacement_Crustal'!B7="PulsesD50 (EQ6&amp;7)"),3,IF(AND('Seismic Displacement_Crustal'!B13&gt;=0,'Seismic Displacement_Crustal'!B13&lt;150,'Seismic Displacement_Crustal'!B9&gt;=0.1,'Seismic Displacement_Crustal'!B14=50,'Seismic Displacement_Crustal'!B7="PulsesD50 (EQ6&amp;7)"),4,IF(AND('Seismic Displacement_Crustal'!B13&gt;=0,'Seismic Displacement_Crustal'!B13&lt;150,'Seismic Displacement_Crustal'!B9&lt;0.1,'Seismic Displacement_Crustal'!B14=100,'Seismic Displacement_Crustal'!B7="PulsesD100 (EQ4&amp;5)"),5,IF(AND('Seismic Displacement_Crustal'!B13&gt;=0,'Seismic Displacement_Crustal'!B13&lt;150,'Seismic Displacement_Crustal'!B9&gt;=0.1,'Seismic Displacement_Crustal'!B14=100,'Seismic Displacement_Crustal'!B7="PulsesD100 (EQ4&amp;5)"),6,IF(AND('Seismic Displacement_Crustal'!B13&gt;=150,'Seismic Displacement_Crustal'!B9&lt;0.1,'Seismic Displacement_Crustal'!B14=50,'Seismic Displacement_Crustal'!B7="PulsesD50 (EQ6&amp;7)"),7,IF(AND('Seismic Displacement_Crustal'!B13&gt;=150,'Seismic Displacement_Crustal'!B9&gt;=0.1,'Seismic Displacement_Crustal'!B14=50,'Seismic Displacement_Crustal'!B7="PulsesD50 (EQ6&amp;7)"),8,IF(AND('Seismic Displacement_Crustal'!B13&gt;=150,'Seismic Displacement_Crustal'!B9&lt;0.1,'Seismic Displacement_Crustal'!B14=100,'Seismic Displacement_Crustal'!B7="PulsesD100 (EQ4&amp;5)"),9,IF(AND('Seismic Displacement_Crustal'!B13&gt;=150,'Seismic Displacement_Crustal'!B9&gt;=0.1,'Seismic Displacement_Crustal'!B14=100,'Seismic Displacement_Crustal'!B7="PulsesD100 (EQ4&amp;5)"),10,100))))))))))</t>
  </si>
  <si>
    <t>P("0")= 1+exp(a+blnky+cln(PGV)+dTs+elnSA)</t>
  </si>
  <si>
    <t>P(D=0)(Pulses, D100, EQ4)</t>
  </si>
  <si>
    <t>P(D=0) (Ordinary Ground motions EQ2)</t>
  </si>
  <si>
    <t>P(D=0) (Determinist/pseudo-probabilistic evaluation EQ8)</t>
  </si>
  <si>
    <t>P(D=0) (Pulses, D50, EQ6)</t>
  </si>
  <si>
    <t>Deterministic-Pseudoprobabilistic (EQ8&amp;9)</t>
  </si>
  <si>
    <t>(c1+c2*log(ky)+c3*(log(ky))^2+c4*log(ky)*log(sa)+c5*log(sa)+c6*(log(sa))^2+c7*ts+c9*(ts)^2+c10*log(PGV)+C8*(Mag))</t>
  </si>
  <si>
    <t>Eq. 12b</t>
  </si>
  <si>
    <t>Eq. 12c</t>
  </si>
  <si>
    <t>eq. (3) or (5) or (7) or (9)</t>
  </si>
  <si>
    <t>eq. (2) or (4) or (6) or (8)</t>
  </si>
  <si>
    <t>calc. using eq. (11)</t>
  </si>
  <si>
    <t>eq. (11)</t>
  </si>
  <si>
    <t>Ordinary GM</t>
  </si>
  <si>
    <t>Control Number</t>
  </si>
  <si>
    <t>8. When a value for D is not calculated, D is &lt; 0.5 cm</t>
  </si>
  <si>
    <t xml:space="preserve">Use only for cases in which the PGV &lt;= 115 cm/s.            The pseudostatic slope stability method should not be used for cases with higher PGV values (i.e. intense pulse motions).  </t>
  </si>
  <si>
    <t>value in parenthesis in Eq. 12c</t>
  </si>
  <si>
    <t>value in parenthesis in Eq. 12a</t>
  </si>
  <si>
    <t>(d)</t>
  </si>
  <si>
    <t xml:space="preserve">(e) </t>
  </si>
  <si>
    <t>If Pulse motion the percentile is given</t>
  </si>
  <si>
    <t>as either D100 or D50. D100 should be</t>
  </si>
  <si>
    <t>used for fault-normal direction</t>
  </si>
  <si>
    <t>8. When a value for D is not calculated, D is &lt; 0.5cm</t>
  </si>
  <si>
    <t>7. When Ts is close to 0.00 s and the sliding block is assumed to be rigid, Ts can be set to 0.00 s and Sa(1.5Ts) can be set to PGA.</t>
  </si>
  <si>
    <t>Initial Fundamental Period (Ts)</t>
  </si>
  <si>
    <t>Yield Coefficient (ky)</t>
  </si>
  <si>
    <t>Model for Probability of Zero</t>
  </si>
  <si>
    <t>the base of the sliding mass assuming</t>
  </si>
  <si>
    <t>Input the Spectral Acceleration (g) at</t>
  </si>
  <si>
    <t xml:space="preserve"> * Select Ordinary or Pulse or Combined Equations</t>
  </si>
  <si>
    <t>Normally distributed random variable with zero mean and standard deviation of 0.74</t>
  </si>
  <si>
    <r>
      <t xml:space="preserve">Peak Ground Velocity (PGV) </t>
    </r>
    <r>
      <rPr>
        <b/>
        <vertAlign val="superscript"/>
        <sz val="10"/>
        <color theme="1"/>
        <rFont val="Arial"/>
        <family val="2"/>
      </rPr>
      <t>(d)</t>
    </r>
  </si>
  <si>
    <r>
      <t xml:space="preserve">Percentile (if Pulse ground Motion) </t>
    </r>
    <r>
      <rPr>
        <b/>
        <vertAlign val="superscript"/>
        <sz val="10"/>
        <rFont val="Arial"/>
        <family val="2"/>
      </rPr>
      <t>(e)</t>
    </r>
  </si>
  <si>
    <t>PGV (cm/s) is required for near-fault pulse</t>
  </si>
  <si>
    <r>
      <t>Yield Coefficient (k</t>
    </r>
    <r>
      <rPr>
        <vertAlign val="subscript"/>
        <sz val="10"/>
        <rFont val="Arial"/>
        <family val="2"/>
      </rPr>
      <t>y</t>
    </r>
    <r>
      <rPr>
        <sz val="10"/>
        <rFont val="Arial"/>
        <family val="2"/>
      </rPr>
      <t xml:space="preserve">) </t>
    </r>
    <r>
      <rPr>
        <b/>
        <vertAlign val="superscript"/>
        <sz val="10"/>
        <rFont val="Arial"/>
        <family val="2"/>
      </rPr>
      <t>(a)</t>
    </r>
  </si>
  <si>
    <r>
      <t>Initial Fundamental Period (T</t>
    </r>
    <r>
      <rPr>
        <vertAlign val="subscript"/>
        <sz val="10"/>
        <rFont val="Arial"/>
        <family val="2"/>
      </rPr>
      <t>s</t>
    </r>
    <r>
      <rPr>
        <sz val="10"/>
        <rFont val="Arial"/>
        <family val="2"/>
      </rPr>
      <t xml:space="preserve">) </t>
    </r>
    <r>
      <rPr>
        <b/>
        <vertAlign val="superscript"/>
        <sz val="10"/>
        <rFont val="Arial"/>
        <family val="2"/>
      </rPr>
      <t>(b)</t>
    </r>
  </si>
  <si>
    <r>
      <t>Degraded Period (1.3T</t>
    </r>
    <r>
      <rPr>
        <vertAlign val="subscript"/>
        <sz val="10"/>
        <rFont val="Arial"/>
        <family val="2"/>
      </rPr>
      <t>s</t>
    </r>
    <r>
      <rPr>
        <sz val="10"/>
        <rFont val="Arial"/>
        <family val="2"/>
      </rPr>
      <t>)</t>
    </r>
  </si>
  <si>
    <r>
      <t>Moment Magnitude (M</t>
    </r>
    <r>
      <rPr>
        <vertAlign val="subscript"/>
        <sz val="10"/>
        <rFont val="Arial"/>
        <family val="2"/>
      </rPr>
      <t>w</t>
    </r>
    <r>
      <rPr>
        <sz val="10"/>
        <color theme="1"/>
        <rFont val="Arial"/>
        <family val="2"/>
      </rPr>
      <t>)</t>
    </r>
  </si>
  <si>
    <r>
      <t>Spectral Acceleration ( S</t>
    </r>
    <r>
      <rPr>
        <vertAlign val="subscript"/>
        <sz val="10"/>
        <rFont val="Arial"/>
        <family val="2"/>
      </rPr>
      <t>a</t>
    </r>
    <r>
      <rPr>
        <sz val="10"/>
        <rFont val="Arial"/>
        <family val="2"/>
      </rPr>
      <t>(1.3T</t>
    </r>
    <r>
      <rPr>
        <vertAlign val="subscript"/>
        <sz val="10"/>
        <rFont val="Arial"/>
        <family val="2"/>
      </rPr>
      <t>s</t>
    </r>
    <r>
      <rPr>
        <sz val="10"/>
        <rFont val="Arial"/>
        <family val="2"/>
      </rPr>
      <t xml:space="preserve">) ) </t>
    </r>
    <r>
      <rPr>
        <b/>
        <vertAlign val="superscript"/>
        <sz val="10"/>
        <rFont val="Arial"/>
        <family val="2"/>
      </rPr>
      <t>(c)</t>
    </r>
  </si>
  <si>
    <r>
      <t>1D: T</t>
    </r>
    <r>
      <rPr>
        <b/>
        <vertAlign val="subscript"/>
        <sz val="10"/>
        <color theme="1"/>
        <rFont val="Arial"/>
        <family val="2"/>
      </rPr>
      <t>s</t>
    </r>
    <r>
      <rPr>
        <b/>
        <sz val="10"/>
        <color theme="1"/>
        <rFont val="Arial"/>
        <family val="2"/>
      </rPr>
      <t>=4H/V</t>
    </r>
    <r>
      <rPr>
        <b/>
        <vertAlign val="subscript"/>
        <sz val="10"/>
        <color theme="1"/>
        <rFont val="Arial"/>
        <family val="2"/>
      </rPr>
      <t>s</t>
    </r>
    <r>
      <rPr>
        <b/>
        <sz val="10"/>
        <color theme="1"/>
        <rFont val="Arial"/>
        <family val="2"/>
      </rPr>
      <t xml:space="preserve">   2D: T</t>
    </r>
    <r>
      <rPr>
        <b/>
        <vertAlign val="subscript"/>
        <sz val="10"/>
        <color theme="1"/>
        <rFont val="Arial"/>
        <family val="2"/>
      </rPr>
      <t>s</t>
    </r>
    <r>
      <rPr>
        <b/>
        <sz val="10"/>
        <color theme="1"/>
        <rFont val="Arial"/>
        <family val="2"/>
      </rPr>
      <t>=2.6H/V</t>
    </r>
    <r>
      <rPr>
        <b/>
        <vertAlign val="subscript"/>
        <sz val="10"/>
        <color theme="1"/>
        <rFont val="Arial"/>
        <family val="2"/>
      </rPr>
      <t>s</t>
    </r>
  </si>
  <si>
    <r>
      <t>7. Rigid slope is assumed for T</t>
    </r>
    <r>
      <rPr>
        <vertAlign val="subscript"/>
        <sz val="8.5"/>
        <rFont val="Arial"/>
        <family val="2"/>
      </rPr>
      <t>s</t>
    </r>
    <r>
      <rPr>
        <sz val="8.5"/>
        <rFont val="Arial"/>
        <family val="2"/>
      </rPr>
      <t xml:space="preserve"> &lt; 0.05 s, i.e. T</t>
    </r>
    <r>
      <rPr>
        <vertAlign val="subscript"/>
        <sz val="8.5"/>
        <rFont val="Arial"/>
        <family val="2"/>
      </rPr>
      <t>s</t>
    </r>
    <r>
      <rPr>
        <sz val="8.5"/>
        <rFont val="Arial"/>
        <family val="2"/>
      </rPr>
      <t xml:space="preserve"> = 0.0.  If Ts is just less than 0.05 s, set T</t>
    </r>
    <r>
      <rPr>
        <vertAlign val="subscript"/>
        <sz val="8.5"/>
        <rFont val="Arial"/>
        <family val="2"/>
      </rPr>
      <t>s</t>
    </r>
    <r>
      <rPr>
        <sz val="8.5"/>
        <rFont val="Arial"/>
        <family val="2"/>
      </rPr>
      <t xml:space="preserve"> = 0.050 s</t>
    </r>
  </si>
  <si>
    <r>
      <t>4. The 16%, 50%, and 84% percentile displacement values at selected k</t>
    </r>
    <r>
      <rPr>
        <vertAlign val="subscript"/>
        <sz val="8.5"/>
        <rFont val="Arial"/>
        <family val="2"/>
      </rPr>
      <t>y</t>
    </r>
    <r>
      <rPr>
        <sz val="8.5"/>
        <rFont val="Arial"/>
        <family val="2"/>
      </rPr>
      <t xml:space="preserve"> values are shown to the right.</t>
    </r>
  </si>
  <si>
    <t xml:space="preserve">    (e.g., the probability of exceeding displacement D1 is P1 and it is referred to as the (100% - P1) percentile value.</t>
  </si>
  <si>
    <r>
      <t>6. k</t>
    </r>
    <r>
      <rPr>
        <vertAlign val="subscript"/>
        <sz val="8.5"/>
        <rFont val="Arial"/>
        <family val="2"/>
      </rPr>
      <t>y</t>
    </r>
    <r>
      <rPr>
        <sz val="8.5"/>
        <rFont val="Arial"/>
        <family val="2"/>
      </rPr>
      <t xml:space="preserve"> may range between 0.01 and 0.8, T</t>
    </r>
    <r>
      <rPr>
        <vertAlign val="subscript"/>
        <sz val="8.5"/>
        <rFont val="Arial"/>
        <family val="2"/>
      </rPr>
      <t>s</t>
    </r>
    <r>
      <rPr>
        <sz val="8.5"/>
        <rFont val="Arial"/>
        <family val="2"/>
      </rPr>
      <t xml:space="preserve"> between 0 and 2 s, S</t>
    </r>
    <r>
      <rPr>
        <vertAlign val="subscript"/>
        <sz val="8.5"/>
        <rFont val="Arial"/>
        <family val="2"/>
      </rPr>
      <t>a</t>
    </r>
    <r>
      <rPr>
        <sz val="8.5"/>
        <rFont val="Arial"/>
        <family val="2"/>
      </rPr>
      <t xml:space="preserve"> between 0.002 and 4.5 g, M</t>
    </r>
    <r>
      <rPr>
        <vertAlign val="subscript"/>
        <sz val="8.5"/>
        <rFont val="Arial"/>
        <family val="2"/>
      </rPr>
      <t>w</t>
    </r>
    <r>
      <rPr>
        <sz val="8.5"/>
        <rFont val="Arial"/>
        <family val="2"/>
      </rPr>
      <t xml:space="preserve"> between 5.5 and 8.2</t>
    </r>
  </si>
  <si>
    <r>
      <t>k</t>
    </r>
    <r>
      <rPr>
        <b/>
        <vertAlign val="subscript"/>
        <sz val="10"/>
        <rFont val="Arial"/>
        <family val="2"/>
      </rPr>
      <t>y</t>
    </r>
  </si>
  <si>
    <r>
      <t>Dependence on k</t>
    </r>
    <r>
      <rPr>
        <b/>
        <vertAlign val="subscript"/>
        <sz val="10"/>
        <rFont val="Arial"/>
        <family val="2"/>
      </rPr>
      <t>y</t>
    </r>
  </si>
  <si>
    <r>
      <t>D</t>
    </r>
    <r>
      <rPr>
        <vertAlign val="subscript"/>
        <sz val="10"/>
        <rFont val="Arial"/>
        <family val="2"/>
      </rPr>
      <t>a</t>
    </r>
    <r>
      <rPr>
        <sz val="10"/>
        <rFont val="Arial"/>
        <family val="2"/>
      </rPr>
      <t xml:space="preserve"> (cm)</t>
    </r>
  </si>
  <si>
    <r>
      <t>T</t>
    </r>
    <r>
      <rPr>
        <vertAlign val="subscript"/>
        <sz val="10"/>
        <color theme="1"/>
        <rFont val="Arial"/>
        <family val="2"/>
      </rPr>
      <t>s</t>
    </r>
    <r>
      <rPr>
        <sz val="10"/>
        <color theme="1"/>
        <rFont val="Arial"/>
        <family val="2"/>
      </rPr>
      <t xml:space="preserve"> (s)</t>
    </r>
  </si>
  <si>
    <r>
      <t>1.3T</t>
    </r>
    <r>
      <rPr>
        <vertAlign val="subscript"/>
        <sz val="10"/>
        <rFont val="Arial"/>
        <family val="2"/>
      </rPr>
      <t>s</t>
    </r>
    <r>
      <rPr>
        <sz val="10"/>
        <rFont val="Arial"/>
        <family val="2"/>
      </rPr>
      <t xml:space="preserve"> (s)</t>
    </r>
  </si>
  <si>
    <r>
      <t>S</t>
    </r>
    <r>
      <rPr>
        <vertAlign val="subscript"/>
        <sz val="10"/>
        <rFont val="Arial"/>
        <family val="2"/>
      </rPr>
      <t>a</t>
    </r>
    <r>
      <rPr>
        <sz val="10"/>
        <rFont val="Arial"/>
        <family val="2"/>
      </rPr>
      <t>(1.3T</t>
    </r>
    <r>
      <rPr>
        <vertAlign val="subscript"/>
        <sz val="10"/>
        <rFont val="Arial"/>
        <family val="2"/>
      </rPr>
      <t>s</t>
    </r>
    <r>
      <rPr>
        <sz val="10"/>
        <rFont val="Arial"/>
        <family val="2"/>
      </rPr>
      <t>) (g)</t>
    </r>
  </si>
  <si>
    <r>
      <t>M</t>
    </r>
    <r>
      <rPr>
        <vertAlign val="subscript"/>
        <sz val="10"/>
        <rFont val="Arial"/>
        <family val="2"/>
      </rPr>
      <t>w</t>
    </r>
  </si>
  <si>
    <t>Pseudostatic Seismic Coefficient Based on the Bray and Macedo (2019) Seismic Slope Displacement Methodology</t>
  </si>
  <si>
    <t xml:space="preserve">by Jonathan D. Bray and Jorge Macedo, UC Berkeley and Georgia Tech </t>
  </si>
  <si>
    <r>
      <t>Spectral Acceleration at 1.3T</t>
    </r>
    <r>
      <rPr>
        <b/>
        <vertAlign val="subscript"/>
        <sz val="10"/>
        <rFont val="Arial"/>
        <family val="2"/>
      </rPr>
      <t>s</t>
    </r>
    <r>
      <rPr>
        <b/>
        <sz val="10"/>
        <rFont val="Arial"/>
        <family val="2"/>
      </rPr>
      <t xml:space="preserve"> (5% damping) at the base of the sliding mass assuming there is no material above it</t>
    </r>
  </si>
  <si>
    <t>PGV Information</t>
  </si>
  <si>
    <r>
      <t>P("0")= 1-</t>
    </r>
    <r>
      <rPr>
        <sz val="10"/>
        <color theme="1"/>
        <rFont val="Symbol"/>
        <family val="1"/>
        <charset val="2"/>
      </rPr>
      <t>F</t>
    </r>
    <r>
      <rPr>
        <sz val="11"/>
        <color theme="1"/>
        <rFont val="Calibri"/>
        <family val="2"/>
        <scheme val="minor"/>
      </rPr>
      <t>(a+blnky+cln(ky)^2+dTslnky+eTs +flnSA)</t>
    </r>
  </si>
  <si>
    <t>lnky</t>
  </si>
  <si>
    <t>lnky2</t>
  </si>
  <si>
    <t>lnkysa1.3</t>
  </si>
  <si>
    <t>lnsa1.3</t>
  </si>
  <si>
    <t>lnsa1.3^2</t>
  </si>
  <si>
    <t>M</t>
  </si>
  <si>
    <t>Ts^2</t>
  </si>
  <si>
    <t>LnPGV</t>
  </si>
  <si>
    <t>c1</t>
  </si>
  <si>
    <t>c2</t>
  </si>
  <si>
    <t>c3</t>
  </si>
  <si>
    <t>c4</t>
  </si>
  <si>
    <t xml:space="preserve">Procedure for Estimating Shear-Induced Seismic Slope Displacement for Shallow Crustal Earthquakes, ASCE JGGE, 2019, 145(12), doi: 10.1061/(ASCE)GT.1943-5606.0002143 </t>
  </si>
  <si>
    <t>From "Procedure for Estimating Shear-Induced Seismic Slope Displacement for Shallow Crustal Earthquakes," ASCE JGGE, 2019, 145(12), doi: 10.1061/(ASCE)GT.1943-5606.0002143</t>
  </si>
  <si>
    <t xml:space="preserve">motions &amp; for EQ9 when PGV &gt; 115 cm/s;   </t>
  </si>
  <si>
    <t xml:space="preserve">it is estimated at the base of sliding </t>
  </si>
  <si>
    <t>mass assuming no material above it.</t>
  </si>
  <si>
    <t>interface</t>
  </si>
  <si>
    <t>intraslab</t>
  </si>
  <si>
    <t>For Ts &lt;= 0.6 s</t>
  </si>
  <si>
    <t>For Ts &gt; 0.6 s</t>
  </si>
  <si>
    <t>c5</t>
  </si>
  <si>
    <t>c6</t>
  </si>
  <si>
    <t>Model for Displacement Estimate (scalar hazard)</t>
  </si>
  <si>
    <t>lnD = a0 + a1lnky + a2 lnky^2 + a3 lnkylnSa13T + a4lnSa13T + a5 lnSa13T^2 + a6Ts + a7Ts^2 + a8M</t>
  </si>
  <si>
    <t>For Ts &lt;= 0.1 s</t>
  </si>
  <si>
    <t>For Ts &gt; 0.1 s</t>
  </si>
  <si>
    <t>a0</t>
  </si>
  <si>
    <t>a1</t>
  </si>
  <si>
    <t>a2</t>
  </si>
  <si>
    <t>a3</t>
  </si>
  <si>
    <t>a4</t>
  </si>
  <si>
    <t>a5</t>
  </si>
  <si>
    <t>a6</t>
  </si>
  <si>
    <t>a7</t>
  </si>
  <si>
    <t>a8</t>
  </si>
  <si>
    <t xml:space="preserve">sigma </t>
  </si>
  <si>
    <t>Model for Displacement Estimate (vector hazard)</t>
  </si>
  <si>
    <t>lnD = a0 + a1lnky + a2 lnky^2 + a3 lnkylnSa13T + a4lnSa13T + a5 lnSa13T^2 + a6Ts + a7Ts^2 + a8M + a9lnPGV</t>
  </si>
  <si>
    <t>a9</t>
  </si>
  <si>
    <t>sigma</t>
  </si>
  <si>
    <t>PGV(cm/s)</t>
  </si>
  <si>
    <t>mechanism</t>
  </si>
  <si>
    <t>0 for interface and 1 for intraslab</t>
  </si>
  <si>
    <t xml:space="preserve">T = </t>
  </si>
  <si>
    <t>Fs=</t>
  </si>
  <si>
    <t>PGV=</t>
  </si>
  <si>
    <t>1.3Ts (s)</t>
  </si>
  <si>
    <t>Sa(1.3Ts) (g)</t>
  </si>
  <si>
    <t>a_scalar =</t>
  </si>
  <si>
    <t>b_scalar =</t>
  </si>
  <si>
    <t>a_vector =</t>
  </si>
  <si>
    <t>b_vector =</t>
  </si>
  <si>
    <t>Degraded Period (1.3Ts)</t>
  </si>
  <si>
    <t>Mechanism</t>
  </si>
  <si>
    <t>0 for interface 1 for intraslab</t>
  </si>
  <si>
    <t>D_scalar</t>
  </si>
  <si>
    <t>D_vector</t>
  </si>
  <si>
    <t>logit_term</t>
  </si>
  <si>
    <t>Seismic Slope Displacement Procedure for Interface and Intraslab Subduction Zone Earthquakes</t>
  </si>
  <si>
    <t>by Jorge Macedo, Jonathan D. Bray, and Chenying Liu</t>
  </si>
  <si>
    <t>Seismic Slope Displacement Procedure for Interface and Intraslab Subduction Zone Earthquakes, ASCE JGGE, 2023, in review</t>
  </si>
  <si>
    <t>If using the scalar model (eq. 3a), enter all required inputs and -1 for PGV;  If using the vector model (eq. 3b), enter all required inputs and the PGV estimate</t>
  </si>
  <si>
    <t>Spectral Acceleration ( Sa(1.3Ts) )</t>
  </si>
  <si>
    <t>eq. 3a or 3b</t>
  </si>
  <si>
    <t xml:space="preserve">eq. 2 </t>
  </si>
  <si>
    <t>calc. using eq. 1</t>
  </si>
  <si>
    <t>eq. 1</t>
  </si>
  <si>
    <t>Pseudostatic Seismic Coefficient Based on the Macedo, Bray, and Liu (2023) Seismic Slope Displacement Methodology</t>
  </si>
  <si>
    <t>Use -1 if using the scalar model</t>
  </si>
  <si>
    <t>PGV. Enter -1 if using the scalar model</t>
  </si>
  <si>
    <t>Eq. 4b</t>
  </si>
  <si>
    <t>Eq. 4c</t>
  </si>
  <si>
    <t>Eq. 4d</t>
  </si>
  <si>
    <t>For seismic slope displacement methods that incorporate the seismic response of a deformable sliding block, the initial fundamental period of the sliding mass (Ts) of a relatively long sliding mass can be estimated as: Ts = 4H/Vs’, where H is the maximum height of the sliding mass and Vs’ is its equivalent shear wave velocity = S[(Vsi)(mi)]/S(mi), where mi is each differential mass i with shear wave velocity of Vsi (Bray and Macedo 2021). For the case of a triangular-shaped sliding mass, Ts = 2.6H/Vs’ should be used (Ambrasseys and Sarma 1967). The initial fundamental period of the sliding mass can be estimated approximately for other cases using a mass-weighted fundamental period (Ts’) of rectangular slices of the sliding mass, as illustrated in Figure 3. Ts’ is calculated as the mass-weighted fundamental period of each incremental slice of the sliding mass, wherein the fundamental period of each rectangular slice of height Hi and shear wave velocity of Vsi’ is calculated as Tsi = 4 Hi/Vsi’. The effective height of the entire slide mass (H’) is calculated as (Ts’)(Vs’)/4, and the initial fundamental period of the sliding mass can be approximated as Ts = 4 H’/Vs’. H’ varies from 0.65 H to 1.0 H, where H is the maximum height of a vertical line within the sliding mass (not the total height of the sliding mass from its base to its top). The use of Ts implicitly assumes the material below the sliding mass is rigid. Adjustments may be required if the base is not stiff relative to the potential sliding mass or if topographic effects are significant. As the method is based on 1D analysis, which may underestimate the seismic demand of shallow sliding at the top of 2D systems affected by topographic amplification, the input motion’s intensity parameter should be amplified by 25% for moderately steep slopes and by 50% for steep slopes (Bray and Travasarou 2007). It may be amplified by 100% for localized sliding at the dam crest (Yu et al. 2012). [From Bray &amp; Macedo 2023]</t>
  </si>
  <si>
    <t>ky=</t>
  </si>
  <si>
    <t>Sa13=</t>
  </si>
  <si>
    <t>&lt;=10</t>
  </si>
  <si>
    <t>&gt;10</t>
  </si>
  <si>
    <t>&lt;=30</t>
  </si>
  <si>
    <t>&gt;30</t>
  </si>
  <si>
    <t>M=</t>
  </si>
  <si>
    <t>P("0")= exp(term)/ (1 + exp(term)); term = c1 + c2lnky + c3lnky^2 +c4Tlnky + c5T + c6lnSa13T</t>
  </si>
  <si>
    <r>
      <rPr>
        <sz val="9"/>
        <color theme="1"/>
        <rFont val="Arial"/>
        <family val="2"/>
      </rPr>
      <t>Geotechnical Engineering - Invited Lectures, in Geotechnical, Geological, and Earthquake Engineering Series, V. 6, Pitilakis, Kyriazis D., Ed., Springer, 327-353.</t>
    </r>
    <r>
      <rPr>
        <sz val="10"/>
        <color theme="1"/>
        <rFont val="Arial"/>
        <family val="2"/>
      </rPr>
      <t xml:space="preserve"> </t>
    </r>
  </si>
  <si>
    <r>
      <t>9. k</t>
    </r>
    <r>
      <rPr>
        <vertAlign val="subscript"/>
        <sz val="8.5"/>
        <rFont val="Arial"/>
        <family val="2"/>
      </rPr>
      <t>y</t>
    </r>
    <r>
      <rPr>
        <sz val="8.5"/>
        <rFont val="Arial"/>
        <family val="2"/>
      </rPr>
      <t xml:space="preserve"> should be estimated with a slope stability program; the simplified equations shown below in Fig. 14.1 provide approximate values.</t>
    </r>
  </si>
  <si>
    <t xml:space="preserve">Figures from Bray (2007) “Chapter 14: Simplified Seismic Slope Displacement Procedures,” Earthquake Geotechnical Engineering, 4th Inter. Conf. on Earthquake </t>
  </si>
  <si>
    <r>
      <t xml:space="preserve">Figure from Bray &amp; Macedo (2023) “Performance-Based Seismic Assessment of Slope Systems,” </t>
    </r>
    <r>
      <rPr>
        <i/>
        <sz val="10"/>
        <color theme="1"/>
        <rFont val="Arial"/>
        <family val="2"/>
      </rPr>
      <t>Soil Dynamics and Earthquake Engineering J</t>
    </r>
    <r>
      <rPr>
        <sz val="10"/>
        <color theme="1"/>
        <rFont val="Arial"/>
        <family val="2"/>
      </rPr>
      <t xml:space="preserve">., V. 168, 10.1016/j.soildyn.2023.107835. </t>
    </r>
  </si>
  <si>
    <t>Input Spectral Acceleration at base of sliding mass assuming there is no material above it.</t>
  </si>
  <si>
    <t xml:space="preserve">Geotechnical Engineering - Invited Lectures, in Geotechnical, Geological, and Earthquake Engineering Series, V. 6, Pitilakis, Kyriazis D., Ed., Springer, 327-353. </t>
  </si>
  <si>
    <r>
      <t xml:space="preserve">Figure from Bray &amp; Macedo (2023) “Performance-Based Seismic Assessment of Slope Systems,” </t>
    </r>
    <r>
      <rPr>
        <i/>
        <sz val="9"/>
        <color theme="1"/>
        <rFont val="Arial"/>
        <family val="2"/>
      </rPr>
      <t>Soil Dynamics and Earthquake Engineering J.</t>
    </r>
    <r>
      <rPr>
        <sz val="9"/>
        <color theme="1"/>
        <rFont val="Arial"/>
        <family val="2"/>
      </rPr>
      <t xml:space="preserve">, V. 168, 10.1016/j.soildyn.2023.107835. </t>
    </r>
  </si>
  <si>
    <t xml:space="preserve">10. Examples of how Ts is estimated are shown below in Fig. 14.4 and Fig. 3. </t>
  </si>
  <si>
    <t>9. ky should be estimated with a slope stability program; the simplified equations shown below in Fig. 14.1 provide approximate values.</t>
  </si>
  <si>
    <t>pd=0</t>
  </si>
  <si>
    <t>final</t>
  </si>
  <si>
    <t>aaa</t>
  </si>
  <si>
    <t>bbb</t>
  </si>
  <si>
    <t>ccc</t>
  </si>
  <si>
    <t>k</t>
  </si>
  <si>
    <t xml:space="preserve">a </t>
  </si>
  <si>
    <t>Normally distributed random variable with zero mean and standard deviation of 0.75 and 0.62 for interface and intraslab,respectively (scalar model) or 0.65 and 0.53 for interface and intraslab,respectively (vector model)</t>
  </si>
  <si>
    <t>Spectral Acceleration at 1.3Ts (5% damping) at the base of the sliding mass assuming there is no material above it</t>
  </si>
  <si>
    <t xml:space="preserve">  solution of Eq. 4a</t>
  </si>
  <si>
    <t>Allowable Seismic Slope Displacement Threshold (Pseudostatic method is appropriate for cases where Seismic Slope Shear Displacement is less than or equal to 320 cm, i.e., Max Allowable Total Seismic Displacement is 400 cm)</t>
  </si>
  <si>
    <r>
      <t xml:space="preserve">With this </t>
    </r>
    <r>
      <rPr>
        <b/>
        <sz val="10"/>
        <rFont val="Arial"/>
        <family val="2"/>
      </rPr>
      <t>k</t>
    </r>
    <r>
      <rPr>
        <sz val="10"/>
        <rFont val="Arial"/>
        <family val="2"/>
      </rPr>
      <t xml:space="preserve"> value, if the pseudostatic </t>
    </r>
    <r>
      <rPr>
        <b/>
        <sz val="10"/>
        <rFont val="Arial"/>
        <family val="2"/>
      </rPr>
      <t>FS &gt;= 1.0</t>
    </r>
    <r>
      <rPr>
        <sz val="10"/>
        <rFont val="Arial"/>
        <family val="2"/>
      </rPr>
      <t xml:space="preserve">, then the seismic slope shear displacement will be less than </t>
    </r>
  </si>
  <si>
    <r>
      <rPr>
        <b/>
        <sz val="11"/>
        <color theme="1"/>
        <rFont val="Calibri"/>
        <family val="2"/>
        <scheme val="minor"/>
      </rPr>
      <t>cm</t>
    </r>
    <r>
      <rPr>
        <sz val="11"/>
        <color theme="1"/>
        <rFont val="Calibri"/>
        <family val="2"/>
        <scheme val="minor"/>
      </rPr>
      <t xml:space="preserve"> at the 50% or 16% probability of exceedance level (i.e., e = 0 or the standard deviation of the D model, respectively).</t>
    </r>
  </si>
  <si>
    <r>
      <rPr>
        <b/>
        <sz val="11"/>
        <color theme="1"/>
        <rFont val="Calibri"/>
        <family val="2"/>
        <scheme val="minor"/>
      </rPr>
      <t>cm</t>
    </r>
    <r>
      <rPr>
        <sz val="11"/>
        <color theme="1"/>
        <rFont val="Calibri"/>
        <family val="2"/>
        <scheme val="minor"/>
      </rPr>
      <t xml:space="preserve"> at the 50% or 16% probability of exceedance level (i.e., e = 0 or 0.74, respectively).</t>
    </r>
  </si>
  <si>
    <r>
      <t>Set to 0.0 for D</t>
    </r>
    <r>
      <rPr>
        <b/>
        <vertAlign val="subscript"/>
        <sz val="10"/>
        <rFont val="Arial"/>
        <family val="2"/>
      </rPr>
      <t>a</t>
    </r>
    <r>
      <rPr>
        <b/>
        <sz val="10"/>
        <rFont val="Arial"/>
        <family val="2"/>
      </rPr>
      <t xml:space="preserve"> at the median (50%) estimate level, and set to 0.74 for D</t>
    </r>
    <r>
      <rPr>
        <b/>
        <vertAlign val="subscript"/>
        <sz val="10"/>
        <rFont val="Arial"/>
        <family val="2"/>
      </rPr>
      <t>a</t>
    </r>
    <r>
      <rPr>
        <b/>
        <sz val="10"/>
        <rFont val="Arial"/>
        <family val="2"/>
      </rPr>
      <t xml:space="preserve"> at the 16% probability of exceedance level (typically set to 0.74)</t>
    </r>
  </si>
  <si>
    <t>Set to 0.0 for Da at the median (50%) estimate level, and set to the sigma of the D model for Da at the 16% probability of exceedance level (typically set to sigma of D model)</t>
  </si>
  <si>
    <r>
      <rPr>
        <b/>
        <sz val="8.5"/>
        <rFont val="Arial"/>
        <family val="2"/>
      </rPr>
      <t>10. Examples of how T</t>
    </r>
    <r>
      <rPr>
        <b/>
        <vertAlign val="subscript"/>
        <sz val="8.5"/>
        <rFont val="Arial"/>
        <family val="2"/>
      </rPr>
      <t>s</t>
    </r>
    <r>
      <rPr>
        <b/>
        <sz val="8.5"/>
        <rFont val="Arial"/>
        <family val="2"/>
      </rPr>
      <t xml:space="preserve"> is estimated are shown below in Fig. 14.4 and Fig. 3. </t>
    </r>
  </si>
  <si>
    <r>
      <rPr>
        <b/>
        <sz val="8.5"/>
        <rFont val="Arial"/>
        <family val="2"/>
      </rPr>
      <t>11. V</t>
    </r>
    <r>
      <rPr>
        <b/>
        <vertAlign val="subscript"/>
        <sz val="8.5"/>
        <rFont val="Arial"/>
        <family val="2"/>
      </rPr>
      <t>s</t>
    </r>
    <r>
      <rPr>
        <b/>
        <sz val="8.5"/>
        <rFont val="Arial"/>
        <family val="2"/>
      </rPr>
      <t xml:space="preserve"> = weighted avg. shear wave velocity for the sliding mass, e.g., for 2 layers, V</t>
    </r>
    <r>
      <rPr>
        <b/>
        <vertAlign val="subscript"/>
        <sz val="8.5"/>
        <rFont val="Arial"/>
        <family val="2"/>
      </rPr>
      <t>s</t>
    </r>
    <r>
      <rPr>
        <b/>
        <sz val="8.5"/>
        <rFont val="Arial"/>
        <family val="2"/>
      </rPr>
      <t xml:space="preserve"> = [(h1)(V</t>
    </r>
    <r>
      <rPr>
        <b/>
        <vertAlign val="subscript"/>
        <sz val="8.5"/>
        <rFont val="Arial"/>
        <family val="2"/>
      </rPr>
      <t>s</t>
    </r>
    <r>
      <rPr>
        <b/>
        <sz val="8.5"/>
        <rFont val="Arial"/>
        <family val="2"/>
      </rPr>
      <t>1) + (h2)(V</t>
    </r>
    <r>
      <rPr>
        <b/>
        <vertAlign val="subscript"/>
        <sz val="8.5"/>
        <rFont val="Arial"/>
        <family val="2"/>
      </rPr>
      <t>s</t>
    </r>
    <r>
      <rPr>
        <b/>
        <sz val="8.5"/>
        <rFont val="Arial"/>
        <family val="2"/>
      </rPr>
      <t>2)]/(h1 + h2)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</si>
</sst>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00000"/>
    <numFmt numFmtId="168" formatCode="0.0000000"/>
  </numFmts>
  <fonts count="33">
    <font>
      <sz val="11"/>
      <color theme="1"/>
      <name val="Calibri"/>
      <family val="2"/>
      <scheme val="minor"/>
    </font>
    <font>
      <b/>
      <sz val="10"/>
      <name val="Arial"/>
      <family val="2"/>
    </font>
    <font>
      <i/>
      <sz val="10"/>
      <name val="Arial"/>
      <family val="2"/>
    </font>
    <font>
      <b/>
      <i/>
      <sz val="10"/>
      <name val="Arial"/>
      <family val="2"/>
    </font>
    <font>
      <sz val="10"/>
      <name val="Arial"/>
      <family val="2"/>
    </font>
    <font>
      <sz val="8.5"/>
      <name val="Arial"/>
      <family val="2"/>
    </font>
    <font>
      <sz val="10"/>
      <name val="Symbol"/>
      <family val="1"/>
      <charset val="2"/>
    </font>
    <font>
      <sz val="10"/>
      <color rgb="FF222222"/>
      <name val="Arial"/>
      <family val="2"/>
    </font>
    <font>
      <sz val="10"/>
      <color theme="1"/>
      <name val="Arial"/>
      <family val="2"/>
    </font>
    <font>
      <sz val="11"/>
      <color theme="0"/>
      <name val="Calibri"/>
      <family val="2"/>
      <scheme val="minor"/>
    </font>
    <font>
      <sz val="10"/>
      <color theme="1"/>
      <name val="Symbol"/>
      <family val="1"/>
      <charset val="2"/>
    </font>
    <font>
      <sz val="9"/>
      <color indexed="81"/>
      <name val="Tahoma"/>
      <family val="2"/>
    </font>
    <font>
      <b/>
      <sz val="9"/>
      <color indexed="81"/>
      <name val="Tahoma"/>
      <family val="2"/>
    </font>
    <font>
      <sz val="10"/>
      <color theme="0"/>
      <name val="Arial"/>
      <family val="2"/>
    </font>
    <font>
      <b/>
      <sz val="11"/>
      <color theme="1"/>
      <name val="Calibri"/>
      <family val="2"/>
      <scheme val="minor"/>
    </font>
    <font>
      <b/>
      <sz val="10"/>
      <color theme="1"/>
      <name val="Arial"/>
      <family val="2"/>
    </font>
    <font>
      <b/>
      <vertAlign val="superscript"/>
      <sz val="10"/>
      <name val="Arial"/>
      <family val="2"/>
    </font>
    <font>
      <b/>
      <vertAlign val="superscript"/>
      <sz val="10"/>
      <color theme="1"/>
      <name val="Arial"/>
      <family val="2"/>
    </font>
    <font>
      <vertAlign val="subscript"/>
      <sz val="10"/>
      <name val="Arial"/>
      <family val="2"/>
    </font>
    <font>
      <b/>
      <vertAlign val="subscript"/>
      <sz val="10"/>
      <color theme="1"/>
      <name val="Arial"/>
      <family val="2"/>
    </font>
    <font>
      <vertAlign val="subscript"/>
      <sz val="8.5"/>
      <name val="Arial"/>
      <family val="2"/>
    </font>
    <font>
      <b/>
      <vertAlign val="subscript"/>
      <sz val="10"/>
      <name val="Arial"/>
      <family val="2"/>
    </font>
    <font>
      <vertAlign val="subscript"/>
      <sz val="10"/>
      <color theme="1"/>
      <name val="Arial"/>
      <family val="2"/>
    </font>
    <font>
      <b/>
      <sz val="9"/>
      <color rgb="FF000000"/>
      <name val="Tahoma"/>
      <family val="2"/>
    </font>
    <font>
      <sz val="9"/>
      <color rgb="FF000000"/>
      <name val="Tahoma"/>
      <family val="2"/>
    </font>
    <font>
      <sz val="8"/>
      <name val="Calibri"/>
      <family val="2"/>
      <scheme val="minor"/>
    </font>
    <font>
      <sz val="9"/>
      <color theme="1"/>
      <name val="Arial"/>
      <family val="2"/>
    </font>
    <font>
      <i/>
      <sz val="10"/>
      <color theme="1"/>
      <name val="Arial"/>
      <family val="2"/>
    </font>
    <font>
      <i/>
      <sz val="9"/>
      <color theme="1"/>
      <name val="Arial"/>
      <family val="2"/>
    </font>
    <font>
      <sz val="11"/>
      <name val="Calibri"/>
      <family val="2"/>
      <scheme val="minor"/>
    </font>
    <font>
      <sz val="9"/>
      <name val="Calibri"/>
      <family val="3"/>
      <charset val="134"/>
      <scheme val="minor"/>
    </font>
    <font>
      <b/>
      <sz val="8.5"/>
      <name val="Arial"/>
      <family val="2"/>
    </font>
    <font>
      <b/>
      <vertAlign val="subscript"/>
      <sz val="8.5"/>
      <name val="Arial"/>
      <family val="2"/>
    </font>
  </fonts>
  <fills count="8">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top style="double">
        <color indexed="64"/>
      </top>
      <bottom/>
      <diagonal/>
    </border>
  </borders>
  <cellStyleXfs count="2">
    <xf numFmtId="0" fontId="0" fillId="0" borderId="0"/>
    <xf numFmtId="0" fontId="4" fillId="0" borderId="0"/>
  </cellStyleXfs>
  <cellXfs count="143">
    <xf numFmtId="0" fontId="0" fillId="0" borderId="0" xfId="0"/>
    <xf numFmtId="0" fontId="1" fillId="0" borderId="0" xfId="0" applyFont="1"/>
    <xf numFmtId="0" fontId="0" fillId="0" borderId="0" xfId="0" applyProtection="1">
      <protection locked="0"/>
    </xf>
    <xf numFmtId="0" fontId="2" fillId="0" borderId="0" xfId="0" applyFont="1"/>
    <xf numFmtId="0" fontId="3" fillId="0" borderId="0" xfId="0" applyFont="1"/>
    <xf numFmtId="0" fontId="1" fillId="0" borderId="1" xfId="0" applyFont="1" applyBorder="1"/>
    <xf numFmtId="0" fontId="4" fillId="0" borderId="0" xfId="0" applyFont="1"/>
    <xf numFmtId="0" fontId="1" fillId="0" borderId="1" xfId="0" applyFont="1" applyBorder="1" applyAlignment="1">
      <alignment horizontal="left"/>
    </xf>
    <xf numFmtId="0" fontId="1" fillId="0" borderId="1" xfId="0" applyFont="1" applyBorder="1" applyAlignment="1">
      <alignment horizontal="center"/>
    </xf>
    <xf numFmtId="164" fontId="4" fillId="0" borderId="0" xfId="0" applyNumberFormat="1" applyFont="1" applyAlignment="1">
      <alignment horizontal="left"/>
    </xf>
    <xf numFmtId="0" fontId="4" fillId="0" borderId="2" xfId="0" applyFont="1" applyBorder="1"/>
    <xf numFmtId="0" fontId="1" fillId="3" borderId="1" xfId="0" applyFont="1" applyFill="1" applyBorder="1"/>
    <xf numFmtId="2" fontId="4" fillId="0" borderId="0" xfId="0" applyNumberFormat="1" applyFont="1"/>
    <xf numFmtId="164" fontId="4" fillId="0" borderId="0" xfId="0" applyNumberFormat="1" applyFont="1"/>
    <xf numFmtId="164" fontId="0" fillId="0" borderId="0" xfId="0" applyNumberFormat="1"/>
    <xf numFmtId="0" fontId="1" fillId="0" borderId="3" xfId="0" applyFont="1" applyBorder="1" applyAlignment="1">
      <alignment horizontal="center"/>
    </xf>
    <xf numFmtId="0" fontId="4" fillId="0" borderId="3" xfId="0" applyFont="1" applyBorder="1"/>
    <xf numFmtId="2" fontId="0" fillId="0" borderId="0" xfId="0" applyNumberFormat="1"/>
    <xf numFmtId="0" fontId="0" fillId="0" borderId="0" xfId="0" applyAlignment="1">
      <alignment horizontal="left"/>
    </xf>
    <xf numFmtId="0" fontId="4" fillId="0" borderId="0" xfId="0" applyFont="1" applyAlignment="1">
      <alignment horizontal="right"/>
    </xf>
    <xf numFmtId="164" fontId="7" fillId="0" borderId="0" xfId="0" applyNumberFormat="1" applyFont="1"/>
    <xf numFmtId="0" fontId="4" fillId="0" borderId="0" xfId="1"/>
    <xf numFmtId="0" fontId="1" fillId="0" borderId="0" xfId="1" applyFont="1"/>
    <xf numFmtId="0" fontId="2" fillId="0" borderId="0" xfId="1" applyFont="1"/>
    <xf numFmtId="0" fontId="4" fillId="0" borderId="2" xfId="1" applyBorder="1"/>
    <xf numFmtId="0" fontId="5" fillId="0" borderId="0" xfId="1" applyFont="1"/>
    <xf numFmtId="0" fontId="8" fillId="0" borderId="0" xfId="0" applyFont="1"/>
    <xf numFmtId="0" fontId="8" fillId="2" borderId="2" xfId="0" applyFont="1" applyFill="1" applyBorder="1" applyProtection="1">
      <protection locked="0"/>
    </xf>
    <xf numFmtId="0" fontId="8" fillId="2" borderId="0" xfId="0" applyFont="1" applyFill="1" applyProtection="1">
      <protection locked="0"/>
    </xf>
    <xf numFmtId="0" fontId="8" fillId="0" borderId="1" xfId="0" applyFont="1" applyBorder="1"/>
    <xf numFmtId="0" fontId="8" fillId="0" borderId="2" xfId="0" applyFont="1" applyBorder="1"/>
    <xf numFmtId="0" fontId="8" fillId="3" borderId="1" xfId="0" applyFont="1" applyFill="1" applyBorder="1"/>
    <xf numFmtId="0" fontId="8" fillId="0" borderId="0" xfId="0" applyFont="1" applyProtection="1">
      <protection locked="0"/>
    </xf>
    <xf numFmtId="2" fontId="8" fillId="0" borderId="0" xfId="0" applyNumberFormat="1" applyFont="1" applyAlignment="1">
      <alignment horizontal="center"/>
    </xf>
    <xf numFmtId="165" fontId="8" fillId="0" borderId="0" xfId="0" applyNumberFormat="1" applyFont="1" applyAlignment="1">
      <alignment horizontal="center"/>
    </xf>
    <xf numFmtId="0" fontId="8" fillId="0" borderId="0" xfId="0" applyFont="1" applyAlignment="1">
      <alignment horizontal="left"/>
    </xf>
    <xf numFmtId="0" fontId="8" fillId="0" borderId="2" xfId="0" applyFont="1" applyBorder="1" applyAlignment="1">
      <alignment horizontal="left"/>
    </xf>
    <xf numFmtId="2" fontId="8" fillId="0" borderId="0" xfId="0" applyNumberFormat="1" applyFont="1"/>
    <xf numFmtId="164" fontId="8" fillId="0" borderId="0" xfId="0" applyNumberFormat="1" applyFont="1"/>
    <xf numFmtId="167" fontId="8" fillId="0" borderId="0" xfId="0" applyNumberFormat="1" applyFont="1"/>
    <xf numFmtId="164" fontId="8" fillId="0" borderId="2" xfId="0" applyNumberFormat="1" applyFont="1" applyBorder="1"/>
    <xf numFmtId="2" fontId="8" fillId="0" borderId="2" xfId="0" applyNumberFormat="1" applyFont="1" applyBorder="1"/>
    <xf numFmtId="2" fontId="8" fillId="0" borderId="3" xfId="0" applyNumberFormat="1" applyFont="1" applyBorder="1"/>
    <xf numFmtId="0" fontId="8" fillId="0" borderId="0" xfId="1" applyFont="1"/>
    <xf numFmtId="0" fontId="10" fillId="0" borderId="0" xfId="0" applyFont="1"/>
    <xf numFmtId="2" fontId="8" fillId="2" borderId="0" xfId="0" applyNumberFormat="1" applyFont="1" applyFill="1" applyAlignment="1" applyProtection="1">
      <alignment horizontal="center"/>
      <protection locked="0"/>
    </xf>
    <xf numFmtId="165" fontId="8" fillId="2" borderId="0" xfId="0" applyNumberFormat="1" applyFont="1" applyFill="1" applyAlignment="1" applyProtection="1">
      <alignment horizontal="center"/>
      <protection locked="0"/>
    </xf>
    <xf numFmtId="0" fontId="2" fillId="3" borderId="0" xfId="0" applyFont="1" applyFill="1"/>
    <xf numFmtId="0" fontId="8" fillId="3" borderId="0" xfId="0" applyFont="1" applyFill="1"/>
    <xf numFmtId="0" fontId="5" fillId="0" borderId="0" xfId="0" applyFont="1"/>
    <xf numFmtId="165" fontId="8" fillId="2" borderId="0" xfId="0" applyNumberFormat="1" applyFont="1" applyFill="1" applyProtection="1">
      <protection locked="0"/>
    </xf>
    <xf numFmtId="2" fontId="8" fillId="2" borderId="0" xfId="0" applyNumberFormat="1" applyFont="1" applyFill="1" applyProtection="1">
      <protection locked="0"/>
    </xf>
    <xf numFmtId="164" fontId="8" fillId="2" borderId="0" xfId="0" applyNumberFormat="1" applyFont="1" applyFill="1" applyProtection="1">
      <protection locked="0"/>
    </xf>
    <xf numFmtId="0" fontId="7" fillId="0" borderId="0" xfId="0" applyFont="1"/>
    <xf numFmtId="164" fontId="4" fillId="0" borderId="0" xfId="1" applyNumberFormat="1"/>
    <xf numFmtId="0" fontId="1" fillId="0" borderId="0" xfId="1" applyFont="1" applyProtection="1">
      <protection hidden="1"/>
    </xf>
    <xf numFmtId="0" fontId="8" fillId="0" borderId="0" xfId="0" applyFont="1" applyProtection="1">
      <protection hidden="1"/>
    </xf>
    <xf numFmtId="0" fontId="13" fillId="0" borderId="0" xfId="0" applyFont="1" applyProtection="1">
      <protection hidden="1"/>
    </xf>
    <xf numFmtId="0" fontId="4" fillId="0" borderId="0" xfId="1" applyProtection="1">
      <protection hidden="1"/>
    </xf>
    <xf numFmtId="0" fontId="2" fillId="0" borderId="0" xfId="0" applyFont="1" applyProtection="1">
      <protection hidden="1"/>
    </xf>
    <xf numFmtId="0" fontId="3" fillId="0" borderId="0" xfId="0" applyFont="1" applyProtection="1">
      <protection hidden="1"/>
    </xf>
    <xf numFmtId="0" fontId="1" fillId="0" borderId="1" xfId="1" applyFont="1" applyBorder="1" applyProtection="1">
      <protection hidden="1"/>
    </xf>
    <xf numFmtId="0" fontId="1" fillId="0" borderId="0" xfId="0" applyFont="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center"/>
      <protection hidden="1"/>
    </xf>
    <xf numFmtId="164" fontId="4" fillId="0" borderId="0" xfId="0" applyNumberFormat="1" applyFont="1" applyAlignment="1" applyProtection="1">
      <alignment horizontal="left"/>
      <protection hidden="1"/>
    </xf>
    <xf numFmtId="164" fontId="8" fillId="0" borderId="0" xfId="0" applyNumberFormat="1" applyFont="1" applyAlignment="1" applyProtection="1">
      <alignment horizontal="center"/>
      <protection hidden="1"/>
    </xf>
    <xf numFmtId="165" fontId="8" fillId="0" borderId="5" xfId="0" applyNumberFormat="1" applyFont="1" applyBorder="1" applyAlignment="1" applyProtection="1">
      <alignment horizontal="center"/>
      <protection hidden="1"/>
    </xf>
    <xf numFmtId="165"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4" fillId="0" borderId="2" xfId="1" applyBorder="1" applyProtection="1">
      <protection hidden="1"/>
    </xf>
    <xf numFmtId="0" fontId="1" fillId="0" borderId="1" xfId="0" applyFont="1" applyBorder="1" applyProtection="1">
      <protection hidden="1"/>
    </xf>
    <xf numFmtId="0" fontId="8" fillId="0" borderId="1" xfId="0" applyFont="1" applyBorder="1" applyProtection="1">
      <protection hidden="1"/>
    </xf>
    <xf numFmtId="0" fontId="8" fillId="0" borderId="2" xfId="0" applyFont="1" applyBorder="1" applyAlignment="1" applyProtection="1">
      <alignment horizontal="left"/>
      <protection hidden="1"/>
    </xf>
    <xf numFmtId="164" fontId="8" fillId="0" borderId="2" xfId="0" applyNumberFormat="1" applyFont="1" applyBorder="1" applyAlignment="1" applyProtection="1">
      <alignment horizontal="center"/>
      <protection hidden="1"/>
    </xf>
    <xf numFmtId="165" fontId="8" fillId="0" borderId="2" xfId="0" applyNumberFormat="1" applyFont="1" applyBorder="1" applyAlignment="1" applyProtection="1">
      <alignment horizontal="center"/>
      <protection hidden="1"/>
    </xf>
    <xf numFmtId="2" fontId="8" fillId="0" borderId="2" xfId="0" applyNumberFormat="1" applyFont="1" applyBorder="1" applyAlignment="1" applyProtection="1">
      <alignment horizontal="center"/>
      <protection hidden="1"/>
    </xf>
    <xf numFmtId="0" fontId="4" fillId="0" borderId="0" xfId="0" applyFont="1" applyProtection="1">
      <protection hidden="1"/>
    </xf>
    <xf numFmtId="164" fontId="8" fillId="0" borderId="0" xfId="0" applyNumberFormat="1" applyFont="1" applyProtection="1">
      <protection hidden="1"/>
    </xf>
    <xf numFmtId="0" fontId="4" fillId="0" borderId="2" xfId="0" applyFont="1" applyBorder="1" applyProtection="1">
      <protection hidden="1"/>
    </xf>
    <xf numFmtId="0" fontId="0" fillId="0" borderId="0" xfId="0" applyProtection="1">
      <protection hidden="1"/>
    </xf>
    <xf numFmtId="165" fontId="8" fillId="0" borderId="0" xfId="0" applyNumberFormat="1" applyFont="1" applyProtection="1">
      <protection hidden="1"/>
    </xf>
    <xf numFmtId="0" fontId="8" fillId="0" borderId="2" xfId="0" applyFont="1" applyBorder="1" applyProtection="1">
      <protection hidden="1"/>
    </xf>
    <xf numFmtId="0" fontId="1" fillId="3" borderId="1" xfId="0" applyFont="1" applyFill="1" applyBorder="1" applyProtection="1">
      <protection hidden="1"/>
    </xf>
    <xf numFmtId="0" fontId="8" fillId="3" borderId="1" xfId="0" applyFont="1" applyFill="1" applyBorder="1" applyProtection="1">
      <protection hidden="1"/>
    </xf>
    <xf numFmtId="2" fontId="4" fillId="0" borderId="0" xfId="0" applyNumberFormat="1" applyFont="1" applyProtection="1">
      <protection hidden="1"/>
    </xf>
    <xf numFmtId="0" fontId="5" fillId="0" borderId="0" xfId="1" applyFont="1" applyProtection="1">
      <protection hidden="1"/>
    </xf>
    <xf numFmtId="0" fontId="9" fillId="0" borderId="0" xfId="0" applyFont="1" applyProtection="1">
      <protection hidden="1"/>
    </xf>
    <xf numFmtId="0" fontId="8" fillId="4" borderId="0" xfId="0" applyFont="1" applyFill="1" applyProtection="1">
      <protection hidden="1"/>
    </xf>
    <xf numFmtId="0" fontId="15" fillId="0" borderId="0" xfId="0" applyFont="1" applyAlignment="1" applyProtection="1">
      <alignment horizontal="right"/>
      <protection hidden="1"/>
    </xf>
    <xf numFmtId="0" fontId="15" fillId="0" borderId="0" xfId="0" applyFont="1" applyProtection="1">
      <protection hidden="1"/>
    </xf>
    <xf numFmtId="0" fontId="14" fillId="0" borderId="0" xfId="0" applyFont="1" applyProtection="1">
      <protection hidden="1"/>
    </xf>
    <xf numFmtId="0" fontId="15" fillId="0" borderId="0" xfId="0" applyFont="1" applyAlignment="1" applyProtection="1">
      <alignment horizontal="left"/>
      <protection hidden="1"/>
    </xf>
    <xf numFmtId="164" fontId="15" fillId="0" borderId="0" xfId="0" applyNumberFormat="1" applyFont="1" applyProtection="1">
      <protection hidden="1"/>
    </xf>
    <xf numFmtId="0" fontId="15" fillId="0" borderId="0" xfId="0" applyFont="1"/>
    <xf numFmtId="0" fontId="14" fillId="0" borderId="0" xfId="0" applyFont="1"/>
    <xf numFmtId="2" fontId="15" fillId="3" borderId="0" xfId="0" applyNumberFormat="1" applyFont="1" applyFill="1" applyAlignment="1" applyProtection="1">
      <alignment horizontal="center"/>
      <protection hidden="1"/>
    </xf>
    <xf numFmtId="165" fontId="15" fillId="3" borderId="0" xfId="0" applyNumberFormat="1" applyFont="1" applyFill="1" applyAlignment="1" applyProtection="1">
      <alignment horizontal="center"/>
      <protection hidden="1"/>
    </xf>
    <xf numFmtId="2" fontId="1" fillId="3" borderId="2" xfId="0" applyNumberFormat="1" applyFont="1" applyFill="1" applyBorder="1" applyAlignment="1" applyProtection="1">
      <alignment horizontal="center"/>
      <protection hidden="1"/>
    </xf>
    <xf numFmtId="2" fontId="15" fillId="3" borderId="0" xfId="0" applyNumberFormat="1" applyFont="1" applyFill="1" applyAlignment="1">
      <alignment horizontal="center"/>
    </xf>
    <xf numFmtId="165" fontId="15" fillId="3" borderId="0" xfId="0" applyNumberFormat="1" applyFont="1" applyFill="1" applyAlignment="1">
      <alignment horizontal="center"/>
    </xf>
    <xf numFmtId="2" fontId="1" fillId="3" borderId="2" xfId="0" applyNumberFormat="1" applyFont="1" applyFill="1" applyBorder="1" applyAlignment="1">
      <alignment horizontal="center"/>
    </xf>
    <xf numFmtId="0" fontId="1" fillId="4" borderId="1" xfId="0" applyFont="1" applyFill="1" applyBorder="1"/>
    <xf numFmtId="0" fontId="8" fillId="4" borderId="1" xfId="0" applyFont="1" applyFill="1" applyBorder="1"/>
    <xf numFmtId="0" fontId="1" fillId="4" borderId="1" xfId="1" applyFont="1" applyFill="1" applyBorder="1" applyProtection="1">
      <protection hidden="1"/>
    </xf>
    <xf numFmtId="0" fontId="1" fillId="4" borderId="1" xfId="1" applyFont="1" applyFill="1" applyBorder="1"/>
    <xf numFmtId="0" fontId="15" fillId="5" borderId="0" xfId="0" applyFont="1" applyFill="1" applyProtection="1">
      <protection hidden="1"/>
    </xf>
    <xf numFmtId="0" fontId="0" fillId="5" borderId="0" xfId="0" applyFill="1" applyProtection="1">
      <protection hidden="1"/>
    </xf>
    <xf numFmtId="0" fontId="8" fillId="5" borderId="0" xfId="0" applyFont="1" applyFill="1" applyProtection="1">
      <protection hidden="1"/>
    </xf>
    <xf numFmtId="0" fontId="4" fillId="5" borderId="4" xfId="1" applyFill="1" applyBorder="1" applyAlignment="1" applyProtection="1">
      <alignment horizontal="center"/>
      <protection locked="0"/>
    </xf>
    <xf numFmtId="0" fontId="0" fillId="0" borderId="0" xfId="0" applyAlignment="1" applyProtection="1">
      <alignment horizontal="center"/>
      <protection hidden="1"/>
    </xf>
    <xf numFmtId="0" fontId="0" fillId="0" borderId="0" xfId="0" applyAlignment="1">
      <alignment horizontal="center"/>
    </xf>
    <xf numFmtId="164" fontId="8" fillId="0" borderId="0" xfId="0" applyNumberFormat="1" applyFont="1" applyAlignment="1">
      <alignment horizontal="left"/>
    </xf>
    <xf numFmtId="168" fontId="0" fillId="0" borderId="0" xfId="0" applyNumberFormat="1"/>
    <xf numFmtId="164" fontId="8" fillId="0" borderId="0" xfId="0" applyNumberFormat="1" applyFont="1" applyAlignment="1">
      <alignment horizontal="center"/>
    </xf>
    <xf numFmtId="166" fontId="8" fillId="0" borderId="0" xfId="0" applyNumberFormat="1" applyFont="1" applyAlignment="1">
      <alignment horizontal="center"/>
    </xf>
    <xf numFmtId="164" fontId="0" fillId="0" borderId="0" xfId="0" applyNumberFormat="1" applyAlignment="1">
      <alignment horizontal="center"/>
    </xf>
    <xf numFmtId="164" fontId="8" fillId="0" borderId="0" xfId="1" applyNumberFormat="1" applyFont="1" applyAlignment="1">
      <alignment horizontal="left"/>
    </xf>
    <xf numFmtId="0" fontId="2" fillId="0" borderId="0" xfId="1" applyFont="1" applyProtection="1">
      <protection hidden="1"/>
    </xf>
    <xf numFmtId="0" fontId="8" fillId="0" borderId="2" xfId="0" applyFont="1" applyBorder="1" applyAlignment="1">
      <alignment horizontal="center"/>
    </xf>
    <xf numFmtId="165" fontId="0" fillId="0" borderId="0" xfId="0" applyNumberFormat="1"/>
    <xf numFmtId="165" fontId="8" fillId="0" borderId="0" xfId="0" applyNumberFormat="1" applyFont="1" applyProtection="1">
      <protection locked="0"/>
    </xf>
    <xf numFmtId="164" fontId="7" fillId="3" borderId="0" xfId="0" applyNumberFormat="1" applyFont="1" applyFill="1"/>
    <xf numFmtId="0" fontId="0" fillId="3" borderId="0" xfId="0" applyFill="1"/>
    <xf numFmtId="164" fontId="0" fillId="3" borderId="0" xfId="0" applyNumberFormat="1" applyFill="1"/>
    <xf numFmtId="0" fontId="26" fillId="0" borderId="0" xfId="0" applyFont="1" applyProtection="1">
      <protection hidden="1"/>
    </xf>
    <xf numFmtId="0" fontId="26" fillId="0" borderId="0" xfId="0" applyFont="1"/>
    <xf numFmtId="0" fontId="14" fillId="3" borderId="0" xfId="0" applyFont="1" applyFill="1"/>
    <xf numFmtId="0" fontId="4" fillId="3" borderId="0" xfId="0" applyFont="1" applyFill="1"/>
    <xf numFmtId="0" fontId="29" fillId="0" borderId="0" xfId="0" applyFont="1"/>
    <xf numFmtId="0" fontId="8" fillId="0" borderId="0" xfId="0" applyFont="1" applyAlignment="1" applyProtection="1">
      <alignment vertical="top" wrapText="1"/>
      <protection hidden="1"/>
    </xf>
    <xf numFmtId="0" fontId="0" fillId="0" borderId="0" xfId="0" applyAlignment="1">
      <alignment horizontal="center"/>
    </xf>
    <xf numFmtId="0" fontId="8" fillId="0" borderId="0" xfId="0" applyFont="1" applyAlignment="1">
      <alignment vertical="top" wrapText="1"/>
    </xf>
    <xf numFmtId="0" fontId="0" fillId="0" borderId="0" xfId="0" applyAlignment="1">
      <alignment vertical="top" wrapText="1"/>
    </xf>
    <xf numFmtId="0" fontId="14" fillId="0" borderId="0" xfId="0" applyFont="1" applyAlignment="1">
      <alignment horizontal="left"/>
    </xf>
    <xf numFmtId="0" fontId="6" fillId="3" borderId="2" xfId="0" applyFont="1" applyFill="1" applyBorder="1"/>
    <xf numFmtId="0" fontId="1" fillId="6" borderId="1" xfId="0" applyFont="1" applyFill="1" applyBorder="1"/>
    <xf numFmtId="2" fontId="8" fillId="6" borderId="1" xfId="0" applyNumberFormat="1" applyFont="1" applyFill="1" applyBorder="1"/>
    <xf numFmtId="0" fontId="8" fillId="6" borderId="1" xfId="0" applyFont="1" applyFill="1" applyBorder="1"/>
    <xf numFmtId="164" fontId="15" fillId="6" borderId="3" xfId="0" applyNumberFormat="1" applyFont="1" applyFill="1" applyBorder="1" applyAlignment="1">
      <alignment horizontal="center"/>
    </xf>
    <xf numFmtId="0" fontId="31" fillId="0" borderId="0" xfId="1" applyFont="1" applyProtection="1">
      <protection hidden="1"/>
    </xf>
    <xf numFmtId="0" fontId="31" fillId="0" borderId="0" xfId="1" applyFont="1"/>
    <xf numFmtId="0" fontId="8" fillId="7" borderId="0" xfId="0" applyFont="1" applyFill="1"/>
  </cellXfs>
  <cellStyles count="2">
    <cellStyle name="Normal" xfId="0" builtinId="0"/>
    <cellStyle name="Normal 2" xfId="1" xr:uid="{00000000-0005-0000-0000-000001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GM on "rock"</c:v>
          </c:tx>
          <c:spPr>
            <a:ln w="25400">
              <a:solidFill>
                <a:srgbClr val="FF00FF"/>
              </a:solidFill>
              <a:prstDash val="solid"/>
            </a:ln>
          </c:spPr>
          <c:marker>
            <c:symbol val="diamond"/>
            <c:size val="5"/>
            <c:spPr>
              <a:solidFill>
                <a:srgbClr val="000080"/>
              </a:solidFill>
              <a:ln>
                <a:solidFill>
                  <a:srgbClr val="FF00FF"/>
                </a:solidFill>
                <a:prstDash val="solid"/>
              </a:ln>
            </c:spPr>
          </c:marker>
          <c:xVal>
            <c:numRef>
              <c:f>'Seismic Displacement'!#REF!</c:f>
              <c:numCache>
                <c:formatCode>General</c:formatCode>
                <c:ptCount val="1"/>
                <c:pt idx="0">
                  <c:v>1</c:v>
                </c:pt>
              </c:numCache>
            </c:numRef>
          </c:xVal>
          <c:yVal>
            <c:numRef>
              <c:f>'Seismic Displacement'!#REF!</c:f>
              <c:numCache>
                <c:formatCode>General</c:formatCode>
                <c:ptCount val="1"/>
                <c:pt idx="0">
                  <c:v>1</c:v>
                </c:pt>
              </c:numCache>
            </c:numRef>
          </c:yVal>
          <c:smooth val="0"/>
          <c:extLst>
            <c:ext xmlns:c16="http://schemas.microsoft.com/office/drawing/2014/chart" uri="{C3380CC4-5D6E-409C-BE32-E72D297353CC}">
              <c16:uniqueId val="{00000000-A0D3-44BB-B12F-00F00D5AB4F4}"/>
            </c:ext>
          </c:extLst>
        </c:ser>
        <c:ser>
          <c:idx val="1"/>
          <c:order val="1"/>
          <c:tx>
            <c:v>GM on "soil"</c:v>
          </c:tx>
          <c:spPr>
            <a:ln w="25400">
              <a:solidFill>
                <a:srgbClr val="FF6600"/>
              </a:solidFill>
              <a:prstDash val="sysDash"/>
            </a:ln>
          </c:spPr>
          <c:marker>
            <c:symbol val="none"/>
          </c:marker>
          <c:xVal>
            <c:numRef>
              <c:f>'Seismic Displacement'!#REF!</c:f>
              <c:numCache>
                <c:formatCode>General</c:formatCode>
                <c:ptCount val="1"/>
                <c:pt idx="0">
                  <c:v>1</c:v>
                </c:pt>
              </c:numCache>
            </c:numRef>
          </c:xVal>
          <c:yVal>
            <c:numRef>
              <c:f>'Seismic Displacement'!#REF!</c:f>
              <c:numCache>
                <c:formatCode>General</c:formatCode>
                <c:ptCount val="1"/>
                <c:pt idx="0">
                  <c:v>1</c:v>
                </c:pt>
              </c:numCache>
            </c:numRef>
          </c:yVal>
          <c:smooth val="0"/>
          <c:extLst>
            <c:ext xmlns:c16="http://schemas.microsoft.com/office/drawing/2014/chart" uri="{C3380CC4-5D6E-409C-BE32-E72D297353CC}">
              <c16:uniqueId val="{00000001-A0D3-44BB-B12F-00F00D5AB4F4}"/>
            </c:ext>
          </c:extLst>
        </c:ser>
        <c:dLbls>
          <c:showLegendKey val="0"/>
          <c:showVal val="0"/>
          <c:showCatName val="0"/>
          <c:showSerName val="0"/>
          <c:showPercent val="0"/>
          <c:showBubbleSize val="0"/>
        </c:dLbls>
        <c:axId val="242842744"/>
        <c:axId val="242837648"/>
      </c:scatterChart>
      <c:valAx>
        <c:axId val="242842744"/>
        <c:scaling>
          <c:orientation val="minMax"/>
          <c:max val="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25" b="1" i="0" u="none" strike="noStrike" baseline="0">
                    <a:solidFill>
                      <a:srgbClr val="000000"/>
                    </a:solidFill>
                    <a:latin typeface="Arial"/>
                    <a:ea typeface="Arial"/>
                    <a:cs typeface="Arial"/>
                  </a:defRPr>
                </a:pPr>
                <a:r>
                  <a:rPr lang="es-CO"/>
                  <a:t>Period (s)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242837648"/>
        <c:crosses val="autoZero"/>
        <c:crossBetween val="midCat"/>
      </c:valAx>
      <c:valAx>
        <c:axId val="242837648"/>
        <c:scaling>
          <c:orientation val="minMax"/>
        </c:scaling>
        <c:delete val="0"/>
        <c:axPos val="l"/>
        <c:majorGridlines>
          <c:spPr>
            <a:ln w="3175">
              <a:solidFill>
                <a:srgbClr val="000000"/>
              </a:solidFill>
              <a:prstDash val="solid"/>
            </a:ln>
          </c:spPr>
        </c:majorGridlines>
        <c:title>
          <c:tx>
            <c:rich>
              <a:bodyPr/>
              <a:lstStyle/>
              <a:p>
                <a:pPr>
                  <a:defRPr sz="125" b="1" i="0" u="none" strike="noStrike" baseline="0">
                    <a:solidFill>
                      <a:srgbClr val="000000"/>
                    </a:solidFill>
                    <a:latin typeface="Arial"/>
                    <a:ea typeface="Arial"/>
                    <a:cs typeface="Arial"/>
                  </a:defRPr>
                </a:pPr>
                <a:r>
                  <a:rPr lang="es-CO"/>
                  <a:t>"Median" Displacement (cm)</a:t>
                </a:r>
              </a:p>
            </c:rich>
          </c:tx>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24284274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11247803163443"/>
          <c:y val="3.0088521578160932E-2"/>
          <c:w val="0.82073813708260102"/>
          <c:h val="0.80000069137227892"/>
        </c:manualLayout>
      </c:layout>
      <c:scatterChart>
        <c:scatterStyle val="lineMarker"/>
        <c:varyColors val="0"/>
        <c:ser>
          <c:idx val="1"/>
          <c:order val="0"/>
          <c:tx>
            <c:v>Median</c:v>
          </c:tx>
          <c:spPr>
            <a:ln w="25400">
              <a:solidFill>
                <a:srgbClr val="FF00FF"/>
              </a:solidFill>
              <a:prstDash val="solid"/>
            </a:ln>
          </c:spPr>
          <c:marker>
            <c:symbol val="square"/>
            <c:size val="7"/>
            <c:spPr>
              <a:solidFill>
                <a:srgbClr val="FF00FF"/>
              </a:solidFill>
              <a:ln>
                <a:solidFill>
                  <a:srgbClr val="FF00FF"/>
                </a:solidFill>
                <a:prstDash val="solid"/>
              </a:ln>
            </c:spPr>
          </c:marker>
          <c:xVal>
            <c:numRef>
              <c:f>'Seismic Displacement_Crustal'!$H$9:$H$16</c:f>
              <c:numCache>
                <c:formatCode>General</c:formatCode>
                <c:ptCount val="8"/>
                <c:pt idx="0" formatCode="0.000">
                  <c:v>0.02</c:v>
                </c:pt>
                <c:pt idx="1">
                  <c:v>0.05</c:v>
                </c:pt>
                <c:pt idx="2">
                  <c:v>7.0000000000000007E-2</c:v>
                </c:pt>
                <c:pt idx="3">
                  <c:v>0.1</c:v>
                </c:pt>
                <c:pt idx="4">
                  <c:v>0.15</c:v>
                </c:pt>
                <c:pt idx="5">
                  <c:v>0.2</c:v>
                </c:pt>
                <c:pt idx="6">
                  <c:v>0.3</c:v>
                </c:pt>
                <c:pt idx="7">
                  <c:v>0.4</c:v>
                </c:pt>
              </c:numCache>
            </c:numRef>
          </c:xVal>
          <c:yVal>
            <c:numRef>
              <c:f>'Seismic Displacement_Crustal'!$K$9:$K$16</c:f>
              <c:numCache>
                <c:formatCode>0.0</c:formatCode>
                <c:ptCount val="8"/>
                <c:pt idx="0">
                  <c:v>404.42363406940001</c:v>
                </c:pt>
                <c:pt idx="1">
                  <c:v>194.55466722548698</c:v>
                </c:pt>
                <c:pt idx="2">
                  <c:v>134.11988788181495</c:v>
                </c:pt>
                <c:pt idx="3">
                  <c:v>85.101903512684956</c:v>
                </c:pt>
                <c:pt idx="4">
                  <c:v>47.041092328708501</c:v>
                </c:pt>
                <c:pt idx="5">
                  <c:v>29.408887953716047</c:v>
                </c:pt>
                <c:pt idx="6">
                  <c:v>13.997574606869522</c:v>
                </c:pt>
                <c:pt idx="7" formatCode="0.00">
                  <c:v>7.3321407521349231</c:v>
                </c:pt>
              </c:numCache>
            </c:numRef>
          </c:yVal>
          <c:smooth val="0"/>
          <c:extLst>
            <c:ext xmlns:c16="http://schemas.microsoft.com/office/drawing/2014/chart" uri="{C3380CC4-5D6E-409C-BE32-E72D297353CC}">
              <c16:uniqueId val="{00000000-039A-47F5-80A8-F0ED9E1FBB61}"/>
            </c:ext>
          </c:extLst>
        </c:ser>
        <c:ser>
          <c:idx val="0"/>
          <c:order val="1"/>
          <c:tx>
            <c:v>84% Percentile</c:v>
          </c:tx>
          <c:spPr>
            <a:ln w="25400">
              <a:solidFill>
                <a:srgbClr val="0000FF"/>
              </a:solidFill>
              <a:prstDash val="solid"/>
            </a:ln>
          </c:spPr>
          <c:marker>
            <c:symbol val="diamond"/>
            <c:size val="7"/>
            <c:spPr>
              <a:solidFill>
                <a:srgbClr val="000080"/>
              </a:solidFill>
              <a:ln>
                <a:solidFill>
                  <a:srgbClr val="000080"/>
                </a:solidFill>
                <a:prstDash val="solid"/>
              </a:ln>
            </c:spPr>
          </c:marker>
          <c:xVal>
            <c:numRef>
              <c:f>'Seismic Displacement_Crustal'!$H$9:$H$16</c:f>
              <c:numCache>
                <c:formatCode>General</c:formatCode>
                <c:ptCount val="8"/>
                <c:pt idx="0" formatCode="0.000">
                  <c:v>0.02</c:v>
                </c:pt>
                <c:pt idx="1">
                  <c:v>0.05</c:v>
                </c:pt>
                <c:pt idx="2">
                  <c:v>7.0000000000000007E-2</c:v>
                </c:pt>
                <c:pt idx="3">
                  <c:v>0.1</c:v>
                </c:pt>
                <c:pt idx="4">
                  <c:v>0.15</c:v>
                </c:pt>
                <c:pt idx="5">
                  <c:v>0.2</c:v>
                </c:pt>
                <c:pt idx="6">
                  <c:v>0.3</c:v>
                </c:pt>
                <c:pt idx="7">
                  <c:v>0.4</c:v>
                </c:pt>
              </c:numCache>
            </c:numRef>
          </c:xVal>
          <c:yVal>
            <c:numRef>
              <c:f>'Seismic Displacement_Crustal'!$L$9:$L$16</c:f>
              <c:numCache>
                <c:formatCode>0.0</c:formatCode>
                <c:ptCount val="8"/>
                <c:pt idx="0">
                  <c:v>840.82531705948668</c:v>
                </c:pt>
                <c:pt idx="1">
                  <c:v>404.49290292271047</c:v>
                </c:pt>
                <c:pt idx="2">
                  <c:v>278.84472556956177</c:v>
                </c:pt>
                <c:pt idx="3">
                  <c:v>176.93287402103954</c:v>
                </c:pt>
                <c:pt idx="4">
                  <c:v>97.802156190006045</c:v>
                </c:pt>
                <c:pt idx="5">
                  <c:v>61.150910258420716</c:v>
                </c:pt>
                <c:pt idx="6">
                  <c:v>29.271267140204809</c:v>
                </c:pt>
                <c:pt idx="7" formatCode="0.00">
                  <c:v>15.947524237898699</c:v>
                </c:pt>
              </c:numCache>
            </c:numRef>
          </c:yVal>
          <c:smooth val="0"/>
          <c:extLst>
            <c:ext xmlns:c16="http://schemas.microsoft.com/office/drawing/2014/chart" uri="{C3380CC4-5D6E-409C-BE32-E72D297353CC}">
              <c16:uniqueId val="{00000001-039A-47F5-80A8-F0ED9E1FBB61}"/>
            </c:ext>
          </c:extLst>
        </c:ser>
        <c:ser>
          <c:idx val="2"/>
          <c:order val="2"/>
          <c:tx>
            <c:v>16% Percentile</c:v>
          </c:tx>
          <c:spPr>
            <a:ln w="25400">
              <a:solidFill>
                <a:srgbClr val="0000FF"/>
              </a:solidFill>
              <a:prstDash val="solid"/>
            </a:ln>
          </c:spPr>
          <c:marker>
            <c:symbol val="triangle"/>
            <c:size val="7"/>
            <c:spPr>
              <a:solidFill>
                <a:srgbClr val="333399"/>
              </a:solidFill>
              <a:ln>
                <a:solidFill>
                  <a:srgbClr val="333399"/>
                </a:solidFill>
                <a:prstDash val="solid"/>
              </a:ln>
            </c:spPr>
          </c:marker>
          <c:xVal>
            <c:numRef>
              <c:f>'Seismic Displacement_Crustal'!$H$9:$H$16</c:f>
              <c:numCache>
                <c:formatCode>General</c:formatCode>
                <c:ptCount val="8"/>
                <c:pt idx="0" formatCode="0.000">
                  <c:v>0.02</c:v>
                </c:pt>
                <c:pt idx="1">
                  <c:v>0.05</c:v>
                </c:pt>
                <c:pt idx="2">
                  <c:v>7.0000000000000007E-2</c:v>
                </c:pt>
                <c:pt idx="3">
                  <c:v>0.1</c:v>
                </c:pt>
                <c:pt idx="4">
                  <c:v>0.15</c:v>
                </c:pt>
                <c:pt idx="5">
                  <c:v>0.2</c:v>
                </c:pt>
                <c:pt idx="6">
                  <c:v>0.3</c:v>
                </c:pt>
                <c:pt idx="7">
                  <c:v>0.4</c:v>
                </c:pt>
              </c:numCache>
            </c:numRef>
          </c:xVal>
          <c:yVal>
            <c:numRef>
              <c:f>'Seismic Displacement_Crustal'!$M$9:$M$16</c:f>
              <c:numCache>
                <c:formatCode>0.0</c:formatCode>
                <c:ptCount val="8"/>
                <c:pt idx="0">
                  <c:v>194.52135000631594</c:v>
                </c:pt>
                <c:pt idx="1">
                  <c:v>93.577707459668403</c:v>
                </c:pt>
                <c:pt idx="2">
                  <c:v>64.509537654308687</c:v>
                </c:pt>
                <c:pt idx="3">
                  <c:v>40.932663180236105</c:v>
                </c:pt>
                <c:pt idx="4">
                  <c:v>22.625676692672748</c:v>
                </c:pt>
                <c:pt idx="5">
                  <c:v>14.13858424404579</c:v>
                </c:pt>
                <c:pt idx="6">
                  <c:v>6.5854236319094852</c:v>
                </c:pt>
                <c:pt idx="7" formatCode="0.00">
                  <c:v>2.8114342845502915</c:v>
                </c:pt>
              </c:numCache>
            </c:numRef>
          </c:yVal>
          <c:smooth val="0"/>
          <c:extLst>
            <c:ext xmlns:c16="http://schemas.microsoft.com/office/drawing/2014/chart" uri="{C3380CC4-5D6E-409C-BE32-E72D297353CC}">
              <c16:uniqueId val="{00000002-039A-47F5-80A8-F0ED9E1FBB61}"/>
            </c:ext>
          </c:extLst>
        </c:ser>
        <c:dLbls>
          <c:showLegendKey val="0"/>
          <c:showVal val="0"/>
          <c:showCatName val="0"/>
          <c:showSerName val="0"/>
          <c:showPercent val="0"/>
          <c:showBubbleSize val="0"/>
        </c:dLbls>
        <c:axId val="242839608"/>
        <c:axId val="242594424"/>
      </c:scatterChart>
      <c:valAx>
        <c:axId val="242839608"/>
        <c:scaling>
          <c:orientation val="minMax"/>
          <c:max val="0.4"/>
        </c:scaling>
        <c:delete val="0"/>
        <c:axPos val="b"/>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sz="1300" b="1" i="0" u="none" strike="noStrike" baseline="0">
                    <a:solidFill>
                      <a:srgbClr val="000000"/>
                    </a:solidFill>
                    <a:latin typeface="Arial"/>
                    <a:ea typeface="Arial"/>
                    <a:cs typeface="Arial"/>
                  </a:defRPr>
                </a:pPr>
                <a:r>
                  <a:rPr lang="es-CO" sz="1300"/>
                  <a:t>Yield Coefficient </a:t>
                </a:r>
              </a:p>
            </c:rich>
          </c:tx>
          <c:layout>
            <c:manualLayout>
              <c:xMode val="edge"/>
              <c:yMode val="edge"/>
              <c:x val="0.44112470556565048"/>
              <c:y val="0.90796524391045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42594424"/>
        <c:crossesAt val="0.1"/>
        <c:crossBetween val="midCat"/>
      </c:valAx>
      <c:valAx>
        <c:axId val="242594424"/>
        <c:scaling>
          <c:logBase val="10"/>
          <c:orientation val="minMax"/>
          <c:max val="1000"/>
          <c:min val="0.1"/>
        </c:scaling>
        <c:delete val="0"/>
        <c:axPos val="l"/>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sz="1300" b="1" i="0" u="none" strike="noStrike" baseline="0">
                    <a:solidFill>
                      <a:srgbClr val="000000"/>
                    </a:solidFill>
                    <a:latin typeface="Arial"/>
                    <a:ea typeface="Arial"/>
                    <a:cs typeface="Arial"/>
                  </a:defRPr>
                </a:pPr>
                <a:r>
                  <a:rPr lang="es-CO" sz="1300"/>
                  <a:t>Median Displacement (cm)</a:t>
                </a:r>
              </a:p>
            </c:rich>
          </c:tx>
          <c:layout>
            <c:manualLayout>
              <c:xMode val="edge"/>
              <c:yMode val="edge"/>
              <c:x val="2.7247952980236446E-2"/>
              <c:y val="0.1867614878691082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42839608"/>
        <c:crosses val="autoZero"/>
        <c:crossBetween val="midCat"/>
      </c:valAx>
      <c:spPr>
        <a:solidFill>
          <a:srgbClr val="FFFFFF"/>
        </a:solidFill>
        <a:ln w="12700">
          <a:solidFill>
            <a:srgbClr val="808080"/>
          </a:solidFill>
          <a:prstDash val="solid"/>
        </a:ln>
      </c:spPr>
    </c:plotArea>
    <c:legend>
      <c:legendPos val="r"/>
      <c:layout>
        <c:manualLayout>
          <c:xMode val="edge"/>
          <c:yMode val="edge"/>
          <c:x val="0.69401835027031888"/>
          <c:y val="7.6772688085522151E-2"/>
          <c:w val="0.25014280907194286"/>
          <c:h val="0.1018363939899832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GM on "rock"</c:v>
          </c:tx>
          <c:spPr>
            <a:ln w="25400">
              <a:solidFill>
                <a:srgbClr val="FF00FF"/>
              </a:solidFill>
              <a:prstDash val="solid"/>
            </a:ln>
          </c:spPr>
          <c:marker>
            <c:symbol val="diamond"/>
            <c:size val="5"/>
            <c:spPr>
              <a:solidFill>
                <a:srgbClr val="000080"/>
              </a:solidFill>
              <a:ln>
                <a:solidFill>
                  <a:srgbClr val="FF00FF"/>
                </a:solidFill>
                <a:prstDash val="solid"/>
              </a:ln>
            </c:spPr>
          </c:marker>
          <c:xVal>
            <c:numRef>
              <c:f>'Seismic Displacement'!#REF!</c:f>
              <c:numCache>
                <c:formatCode>General</c:formatCode>
                <c:ptCount val="1"/>
                <c:pt idx="0">
                  <c:v>1</c:v>
                </c:pt>
              </c:numCache>
            </c:numRef>
          </c:xVal>
          <c:yVal>
            <c:numRef>
              <c:f>'Seismic Displacement'!#REF!</c:f>
              <c:numCache>
                <c:formatCode>General</c:formatCode>
                <c:ptCount val="1"/>
                <c:pt idx="0">
                  <c:v>1</c:v>
                </c:pt>
              </c:numCache>
            </c:numRef>
          </c:yVal>
          <c:smooth val="0"/>
          <c:extLst>
            <c:ext xmlns:c16="http://schemas.microsoft.com/office/drawing/2014/chart" uri="{C3380CC4-5D6E-409C-BE32-E72D297353CC}">
              <c16:uniqueId val="{00000000-5176-4BDC-9A2B-A001B463424E}"/>
            </c:ext>
          </c:extLst>
        </c:ser>
        <c:ser>
          <c:idx val="1"/>
          <c:order val="1"/>
          <c:tx>
            <c:v>GM on "soil"</c:v>
          </c:tx>
          <c:spPr>
            <a:ln w="25400">
              <a:solidFill>
                <a:srgbClr val="FF6600"/>
              </a:solidFill>
              <a:prstDash val="sysDash"/>
            </a:ln>
          </c:spPr>
          <c:marker>
            <c:symbol val="none"/>
          </c:marker>
          <c:xVal>
            <c:numRef>
              <c:f>'Seismic Displacement'!#REF!</c:f>
              <c:numCache>
                <c:formatCode>General</c:formatCode>
                <c:ptCount val="1"/>
                <c:pt idx="0">
                  <c:v>1</c:v>
                </c:pt>
              </c:numCache>
            </c:numRef>
          </c:xVal>
          <c:yVal>
            <c:numRef>
              <c:f>'Seismic Displacement'!#REF!</c:f>
              <c:numCache>
                <c:formatCode>General</c:formatCode>
                <c:ptCount val="1"/>
                <c:pt idx="0">
                  <c:v>1</c:v>
                </c:pt>
              </c:numCache>
            </c:numRef>
          </c:yVal>
          <c:smooth val="0"/>
          <c:extLst>
            <c:ext xmlns:c16="http://schemas.microsoft.com/office/drawing/2014/chart" uri="{C3380CC4-5D6E-409C-BE32-E72D297353CC}">
              <c16:uniqueId val="{00000001-5176-4BDC-9A2B-A001B463424E}"/>
            </c:ext>
          </c:extLst>
        </c:ser>
        <c:dLbls>
          <c:showLegendKey val="0"/>
          <c:showVal val="0"/>
          <c:showCatName val="0"/>
          <c:showSerName val="0"/>
          <c:showPercent val="0"/>
          <c:showBubbleSize val="0"/>
        </c:dLbls>
        <c:axId val="512336096"/>
        <c:axId val="512334136"/>
      </c:scatterChart>
      <c:valAx>
        <c:axId val="512336096"/>
        <c:scaling>
          <c:orientation val="minMax"/>
          <c:max val="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25" b="1" i="0" u="none" strike="noStrike" baseline="0">
                    <a:solidFill>
                      <a:srgbClr val="000000"/>
                    </a:solidFill>
                    <a:latin typeface="Arial"/>
                    <a:ea typeface="Arial"/>
                    <a:cs typeface="Arial"/>
                  </a:defRPr>
                </a:pPr>
                <a:r>
                  <a:rPr lang="es-CO"/>
                  <a:t>Period (s)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512334136"/>
        <c:crosses val="autoZero"/>
        <c:crossBetween val="midCat"/>
      </c:valAx>
      <c:valAx>
        <c:axId val="512334136"/>
        <c:scaling>
          <c:orientation val="minMax"/>
        </c:scaling>
        <c:delete val="0"/>
        <c:axPos val="l"/>
        <c:majorGridlines>
          <c:spPr>
            <a:ln w="3175">
              <a:solidFill>
                <a:srgbClr val="000000"/>
              </a:solidFill>
              <a:prstDash val="solid"/>
            </a:ln>
          </c:spPr>
        </c:majorGridlines>
        <c:title>
          <c:tx>
            <c:rich>
              <a:bodyPr/>
              <a:lstStyle/>
              <a:p>
                <a:pPr>
                  <a:defRPr sz="125" b="1" i="0" u="none" strike="noStrike" baseline="0">
                    <a:solidFill>
                      <a:srgbClr val="000000"/>
                    </a:solidFill>
                    <a:latin typeface="Arial"/>
                    <a:ea typeface="Arial"/>
                    <a:cs typeface="Arial"/>
                  </a:defRPr>
                </a:pPr>
                <a:r>
                  <a:rPr lang="es-CO"/>
                  <a:t>"Median" Displacement (cm)</a:t>
                </a:r>
              </a:p>
            </c:rich>
          </c:tx>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512336096"/>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11247803163443"/>
          <c:y val="3.0088521578160932E-2"/>
          <c:w val="0.82073813708260102"/>
          <c:h val="0.80000069137227892"/>
        </c:manualLayout>
      </c:layout>
      <c:scatterChart>
        <c:scatterStyle val="lineMarker"/>
        <c:varyColors val="0"/>
        <c:ser>
          <c:idx val="1"/>
          <c:order val="0"/>
          <c:tx>
            <c:v>Median</c:v>
          </c:tx>
          <c:spPr>
            <a:ln w="25400">
              <a:solidFill>
                <a:srgbClr val="FF00FF"/>
              </a:solidFill>
              <a:prstDash val="solid"/>
            </a:ln>
          </c:spPr>
          <c:marker>
            <c:symbol val="square"/>
            <c:size val="7"/>
            <c:spPr>
              <a:solidFill>
                <a:srgbClr val="FF00FF"/>
              </a:solidFill>
              <a:ln>
                <a:solidFill>
                  <a:srgbClr val="FF00FF"/>
                </a:solidFill>
                <a:prstDash val="solid"/>
              </a:ln>
            </c:spPr>
          </c:marker>
          <c:xVal>
            <c:numRef>
              <c:f>'Seismic Displacement_Subduction'!$G$9:$G$18</c:f>
              <c:numCache>
                <c:formatCode>General</c:formatCode>
                <c:ptCount val="10"/>
                <c:pt idx="0" formatCode="0.000">
                  <c:v>0.02</c:v>
                </c:pt>
                <c:pt idx="1">
                  <c:v>0.05</c:v>
                </c:pt>
                <c:pt idx="2">
                  <c:v>7.0000000000000007E-2</c:v>
                </c:pt>
                <c:pt idx="3">
                  <c:v>0.08</c:v>
                </c:pt>
                <c:pt idx="4">
                  <c:v>0.1</c:v>
                </c:pt>
                <c:pt idx="5">
                  <c:v>0.12</c:v>
                </c:pt>
                <c:pt idx="6">
                  <c:v>0.15</c:v>
                </c:pt>
                <c:pt idx="7">
                  <c:v>0.2</c:v>
                </c:pt>
                <c:pt idx="8">
                  <c:v>0.3</c:v>
                </c:pt>
                <c:pt idx="9">
                  <c:v>0.4</c:v>
                </c:pt>
              </c:numCache>
            </c:numRef>
          </c:xVal>
          <c:yVal>
            <c:numRef>
              <c:f>'Seismic Displacement_Subduction'!$J$9:$J$18</c:f>
              <c:numCache>
                <c:formatCode>0.0</c:formatCode>
                <c:ptCount val="10"/>
                <c:pt idx="0">
                  <c:v>530.46683350483625</c:v>
                </c:pt>
                <c:pt idx="1">
                  <c:v>270.86112981562047</c:v>
                </c:pt>
                <c:pt idx="2">
                  <c:v>182.27661134076334</c:v>
                </c:pt>
                <c:pt idx="3">
                  <c:v>152.33994690434781</c:v>
                </c:pt>
                <c:pt idx="4">
                  <c:v>109.74054403354987</c:v>
                </c:pt>
                <c:pt idx="5">
                  <c:v>81.773042961159973</c:v>
                </c:pt>
                <c:pt idx="6">
                  <c:v>55.249207516152801</c:v>
                </c:pt>
                <c:pt idx="7">
                  <c:v>31.627779348593847</c:v>
                </c:pt>
                <c:pt idx="8">
                  <c:v>12.872891528433749</c:v>
                </c:pt>
                <c:pt idx="9">
                  <c:v>5.209119399672022</c:v>
                </c:pt>
              </c:numCache>
            </c:numRef>
          </c:yVal>
          <c:smooth val="0"/>
          <c:extLst>
            <c:ext xmlns:c16="http://schemas.microsoft.com/office/drawing/2014/chart" uri="{C3380CC4-5D6E-409C-BE32-E72D297353CC}">
              <c16:uniqueId val="{00000000-C0A3-48A7-9051-8FD7D1832BDA}"/>
            </c:ext>
          </c:extLst>
        </c:ser>
        <c:ser>
          <c:idx val="0"/>
          <c:order val="1"/>
          <c:tx>
            <c:v>84% Percentile</c:v>
          </c:tx>
          <c:spPr>
            <a:ln w="25400">
              <a:solidFill>
                <a:srgbClr val="0000FF"/>
              </a:solidFill>
              <a:prstDash val="solid"/>
            </a:ln>
          </c:spPr>
          <c:marker>
            <c:symbol val="diamond"/>
            <c:size val="7"/>
            <c:spPr>
              <a:solidFill>
                <a:srgbClr val="000080"/>
              </a:solidFill>
              <a:ln>
                <a:solidFill>
                  <a:srgbClr val="000080"/>
                </a:solidFill>
                <a:prstDash val="solid"/>
              </a:ln>
            </c:spPr>
          </c:marker>
          <c:xVal>
            <c:numRef>
              <c:f>'Seismic Displacement_Subduction'!$G$9:$G$18</c:f>
              <c:numCache>
                <c:formatCode>General</c:formatCode>
                <c:ptCount val="10"/>
                <c:pt idx="0" formatCode="0.000">
                  <c:v>0.02</c:v>
                </c:pt>
                <c:pt idx="1">
                  <c:v>0.05</c:v>
                </c:pt>
                <c:pt idx="2">
                  <c:v>7.0000000000000007E-2</c:v>
                </c:pt>
                <c:pt idx="3">
                  <c:v>0.08</c:v>
                </c:pt>
                <c:pt idx="4">
                  <c:v>0.1</c:v>
                </c:pt>
                <c:pt idx="5">
                  <c:v>0.12</c:v>
                </c:pt>
                <c:pt idx="6">
                  <c:v>0.15</c:v>
                </c:pt>
                <c:pt idx="7">
                  <c:v>0.2</c:v>
                </c:pt>
                <c:pt idx="8">
                  <c:v>0.3</c:v>
                </c:pt>
                <c:pt idx="9">
                  <c:v>0.4</c:v>
                </c:pt>
              </c:numCache>
            </c:numRef>
          </c:xVal>
          <c:yVal>
            <c:numRef>
              <c:f>'Seismic Displacement_Subduction'!$K$9:$K$18</c:f>
              <c:numCache>
                <c:formatCode>0.0</c:formatCode>
                <c:ptCount val="10"/>
                <c:pt idx="0">
                  <c:v>1118.3401422825493</c:v>
                </c:pt>
                <c:pt idx="1">
                  <c:v>571.03452266957174</c:v>
                </c:pt>
                <c:pt idx="2">
                  <c:v>384.27898561852146</c:v>
                </c:pt>
                <c:pt idx="3">
                  <c:v>321.16596092523747</c:v>
                </c:pt>
                <c:pt idx="4">
                  <c:v>231.35717751404101</c:v>
                </c:pt>
                <c:pt idx="5">
                  <c:v>172.39580523068756</c:v>
                </c:pt>
                <c:pt idx="6">
                  <c:v>116.47894175996966</c:v>
                </c:pt>
                <c:pt idx="7">
                  <c:v>66.689139970448011</c:v>
                </c:pt>
                <c:pt idx="8">
                  <c:v>27.320786841651341</c:v>
                </c:pt>
                <c:pt idx="9">
                  <c:v>12.303797994223553</c:v>
                </c:pt>
              </c:numCache>
            </c:numRef>
          </c:yVal>
          <c:smooth val="0"/>
          <c:extLst>
            <c:ext xmlns:c16="http://schemas.microsoft.com/office/drawing/2014/chart" uri="{C3380CC4-5D6E-409C-BE32-E72D297353CC}">
              <c16:uniqueId val="{00000001-C0A3-48A7-9051-8FD7D1832BDA}"/>
            </c:ext>
          </c:extLst>
        </c:ser>
        <c:ser>
          <c:idx val="2"/>
          <c:order val="2"/>
          <c:tx>
            <c:v>16% Percentile</c:v>
          </c:tx>
          <c:spPr>
            <a:ln w="25400">
              <a:solidFill>
                <a:srgbClr val="0000FF"/>
              </a:solidFill>
              <a:prstDash val="solid"/>
            </a:ln>
          </c:spPr>
          <c:marker>
            <c:symbol val="triangle"/>
            <c:size val="7"/>
            <c:spPr>
              <a:solidFill>
                <a:srgbClr val="333399"/>
              </a:solidFill>
              <a:ln>
                <a:solidFill>
                  <a:srgbClr val="333399"/>
                </a:solidFill>
                <a:prstDash val="solid"/>
              </a:ln>
            </c:spPr>
          </c:marker>
          <c:xVal>
            <c:numRef>
              <c:f>'Seismic Displacement_Subduction'!$G$9:$G$18</c:f>
              <c:numCache>
                <c:formatCode>General</c:formatCode>
                <c:ptCount val="10"/>
                <c:pt idx="0" formatCode="0.000">
                  <c:v>0.02</c:v>
                </c:pt>
                <c:pt idx="1">
                  <c:v>0.05</c:v>
                </c:pt>
                <c:pt idx="2">
                  <c:v>7.0000000000000007E-2</c:v>
                </c:pt>
                <c:pt idx="3">
                  <c:v>0.08</c:v>
                </c:pt>
                <c:pt idx="4">
                  <c:v>0.1</c:v>
                </c:pt>
                <c:pt idx="5">
                  <c:v>0.12</c:v>
                </c:pt>
                <c:pt idx="6">
                  <c:v>0.15</c:v>
                </c:pt>
                <c:pt idx="7">
                  <c:v>0.2</c:v>
                </c:pt>
                <c:pt idx="8">
                  <c:v>0.3</c:v>
                </c:pt>
                <c:pt idx="9">
                  <c:v>0.4</c:v>
                </c:pt>
              </c:numCache>
            </c:numRef>
          </c:xVal>
          <c:yVal>
            <c:numRef>
              <c:f>'Seismic Displacement_Subduction'!$L$9:$L$18</c:f>
              <c:numCache>
                <c:formatCode>0.0</c:formatCode>
                <c:ptCount val="10"/>
                <c:pt idx="0">
                  <c:v>251.61849316393653</c:v>
                </c:pt>
                <c:pt idx="1">
                  <c:v>128.47866168666397</c:v>
                </c:pt>
                <c:pt idx="2">
                  <c:v>86.45999910036906</c:v>
                </c:pt>
                <c:pt idx="3">
                  <c:v>72.260007879955808</c:v>
                </c:pt>
                <c:pt idx="4">
                  <c:v>52.053594975052604</c:v>
                </c:pt>
                <c:pt idx="5">
                  <c:v>38.787457977144314</c:v>
                </c:pt>
                <c:pt idx="6">
                  <c:v>26.205315189876938</c:v>
                </c:pt>
                <c:pt idx="7">
                  <c:v>14.993108256172016</c:v>
                </c:pt>
                <c:pt idx="8">
                  <c:v>5.9519368098546535</c:v>
                </c:pt>
                <c:pt idx="9">
                  <c:v>0</c:v>
                </c:pt>
              </c:numCache>
            </c:numRef>
          </c:yVal>
          <c:smooth val="0"/>
          <c:extLst>
            <c:ext xmlns:c16="http://schemas.microsoft.com/office/drawing/2014/chart" uri="{C3380CC4-5D6E-409C-BE32-E72D297353CC}">
              <c16:uniqueId val="{00000002-C0A3-48A7-9051-8FD7D1832BDA}"/>
            </c:ext>
          </c:extLst>
        </c:ser>
        <c:dLbls>
          <c:showLegendKey val="0"/>
          <c:showVal val="0"/>
          <c:showCatName val="0"/>
          <c:showSerName val="0"/>
          <c:showPercent val="0"/>
          <c:showBubbleSize val="0"/>
        </c:dLbls>
        <c:axId val="513315040"/>
        <c:axId val="513314648"/>
      </c:scatterChart>
      <c:valAx>
        <c:axId val="513315040"/>
        <c:scaling>
          <c:orientation val="minMax"/>
          <c:max val="0.4"/>
        </c:scaling>
        <c:delete val="0"/>
        <c:axPos val="b"/>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sz="1025" b="1" i="0" u="none" strike="noStrike" baseline="0">
                    <a:solidFill>
                      <a:srgbClr val="000000"/>
                    </a:solidFill>
                    <a:latin typeface="Arial"/>
                    <a:ea typeface="Arial"/>
                    <a:cs typeface="Arial"/>
                  </a:defRPr>
                </a:pPr>
                <a:r>
                  <a:rPr lang="es-CO"/>
                  <a:t>Yield Coefficient </a:t>
                </a:r>
              </a:p>
            </c:rich>
          </c:tx>
          <c:layout>
            <c:manualLayout>
              <c:xMode val="edge"/>
              <c:yMode val="edge"/>
              <c:x val="0.44112470556565048"/>
              <c:y val="0.90796524391045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513314648"/>
        <c:crossesAt val="0.1"/>
        <c:crossBetween val="midCat"/>
      </c:valAx>
      <c:valAx>
        <c:axId val="513314648"/>
        <c:scaling>
          <c:logBase val="10"/>
          <c:orientation val="minMax"/>
          <c:max val="1000"/>
          <c:min val="0.1"/>
        </c:scaling>
        <c:delete val="0"/>
        <c:axPos val="l"/>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sz="1025" b="1" i="0" u="none" strike="noStrike" baseline="0">
                    <a:solidFill>
                      <a:srgbClr val="000000"/>
                    </a:solidFill>
                    <a:latin typeface="Arial"/>
                    <a:ea typeface="Arial"/>
                    <a:cs typeface="Arial"/>
                  </a:defRPr>
                </a:pPr>
                <a:r>
                  <a:rPr lang="es-CO"/>
                  <a:t>Median Displacement (cm)</a:t>
                </a:r>
              </a:p>
            </c:rich>
          </c:tx>
          <c:layout>
            <c:manualLayout>
              <c:xMode val="edge"/>
              <c:yMode val="edge"/>
              <c:x val="2.7247952980236446E-2"/>
              <c:y val="0.1867614878691082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513315040"/>
        <c:crosses val="autoZero"/>
        <c:crossBetween val="midCat"/>
      </c:valAx>
      <c:spPr>
        <a:solidFill>
          <a:srgbClr val="FFFFFF"/>
        </a:solidFill>
        <a:ln w="12700">
          <a:solidFill>
            <a:srgbClr val="808080"/>
          </a:solidFill>
          <a:prstDash val="solid"/>
        </a:ln>
      </c:spPr>
    </c:plotArea>
    <c:legend>
      <c:legendPos val="r"/>
      <c:layout>
        <c:manualLayout>
          <c:xMode val="edge"/>
          <c:yMode val="edge"/>
          <c:x val="0.76239441864638713"/>
          <c:y val="4.1736227045075125E-2"/>
          <c:w val="0.19316275209188594"/>
          <c:h val="0.1018363939899832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jpg"/><Relationship Id="rId4" Type="http://schemas.openxmlformats.org/officeDocument/2006/relationships/image" Target="../media/image2.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jp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16</xdr:row>
      <xdr:rowOff>57150</xdr:rowOff>
    </xdr:from>
    <xdr:to>
      <xdr:col>12</xdr:col>
      <xdr:colOff>857250</xdr:colOff>
      <xdr:row>50</xdr:row>
      <xdr:rowOff>57150</xdr:rowOff>
    </xdr:to>
    <xdr:graphicFrame macro="">
      <xdr:nvGraphicFramePr>
        <xdr:cNvPr id="3" name="Chart 4">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89647</xdr:colOff>
      <xdr:row>59</xdr:row>
      <xdr:rowOff>78441</xdr:rowOff>
    </xdr:from>
    <xdr:to>
      <xdr:col>2</xdr:col>
      <xdr:colOff>207758</xdr:colOff>
      <xdr:row>93</xdr:row>
      <xdr:rowOff>73745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266" t="8223" r="12071" b="30675"/>
        <a:stretch/>
      </xdr:blipFill>
      <xdr:spPr>
        <a:xfrm>
          <a:off x="89647" y="11037794"/>
          <a:ext cx="5454240" cy="6091304"/>
        </a:xfrm>
        <a:prstGeom prst="rect">
          <a:avLst/>
        </a:prstGeom>
        <a:ln w="25400">
          <a:solidFill>
            <a:schemeClr val="tx1"/>
          </a:solidFill>
        </a:ln>
      </xdr:spPr>
    </xdr:pic>
    <xdr:clientData/>
  </xdr:twoCellAnchor>
  <xdr:twoCellAnchor editAs="oneCell">
    <xdr:from>
      <xdr:col>0</xdr:col>
      <xdr:colOff>59614</xdr:colOff>
      <xdr:row>46</xdr:row>
      <xdr:rowOff>59841</xdr:rowOff>
    </xdr:from>
    <xdr:to>
      <xdr:col>1</xdr:col>
      <xdr:colOff>1964616</xdr:colOff>
      <xdr:row>56</xdr:row>
      <xdr:rowOff>113791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5664"/>
        <a:stretch/>
      </xdr:blipFill>
      <xdr:spPr>
        <a:xfrm>
          <a:off x="59614" y="8688370"/>
          <a:ext cx="4355504" cy="1846892"/>
        </a:xfrm>
        <a:prstGeom prst="rect">
          <a:avLst/>
        </a:prstGeom>
        <a:ln w="15875">
          <a:solidFill>
            <a:schemeClr val="tx1"/>
          </a:solidFill>
        </a:ln>
      </xdr:spPr>
    </xdr:pic>
    <xdr:clientData/>
  </xdr:twoCellAnchor>
  <xdr:twoCellAnchor editAs="oneCell">
    <xdr:from>
      <xdr:col>1</xdr:col>
      <xdr:colOff>2046865</xdr:colOff>
      <xdr:row>46</xdr:row>
      <xdr:rowOff>56030</xdr:rowOff>
    </xdr:from>
    <xdr:to>
      <xdr:col>6</xdr:col>
      <xdr:colOff>1086777</xdr:colOff>
      <xdr:row>56</xdr:row>
      <xdr:rowOff>112058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489747" y="8684559"/>
          <a:ext cx="4442829" cy="1848970"/>
        </a:xfrm>
        <a:prstGeom prst="rect">
          <a:avLst/>
        </a:prstGeom>
        <a:ln w="15875">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8</xdr:row>
      <xdr:rowOff>0</xdr:rowOff>
    </xdr:from>
    <xdr:to>
      <xdr:col>7</xdr:col>
      <xdr:colOff>0</xdr:colOff>
      <xdr:row>8</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18</xdr:row>
      <xdr:rowOff>57150</xdr:rowOff>
    </xdr:from>
    <xdr:to>
      <xdr:col>11</xdr:col>
      <xdr:colOff>857250</xdr:colOff>
      <xdr:row>52</xdr:row>
      <xdr:rowOff>57150</xdr:rowOff>
    </xdr:to>
    <xdr:graphicFrame macro="">
      <xdr:nvGraphicFramePr>
        <xdr:cNvPr id="3" name="Chart 4">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47625</xdr:colOff>
      <xdr:row>45</xdr:row>
      <xdr:rowOff>85725</xdr:rowOff>
    </xdr:from>
    <xdr:to>
      <xdr:col>2</xdr:col>
      <xdr:colOff>593129</xdr:colOff>
      <xdr:row>55</xdr:row>
      <xdr:rowOff>134297</xdr:rowOff>
    </xdr:to>
    <xdr:pic>
      <xdr:nvPicPr>
        <xdr:cNvPr id="6" name="Picture 5">
          <a:extLst>
            <a:ext uri="{FF2B5EF4-FFF2-40B4-BE49-F238E27FC236}">
              <a16:creationId xmlns:a16="http://schemas.microsoft.com/office/drawing/2014/main" id="{BF96A6E1-D67D-4B01-8DF2-C92652ACA62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5664"/>
        <a:stretch/>
      </xdr:blipFill>
      <xdr:spPr>
        <a:xfrm>
          <a:off x="47625" y="8324850"/>
          <a:ext cx="4355504" cy="1850702"/>
        </a:xfrm>
        <a:prstGeom prst="rect">
          <a:avLst/>
        </a:prstGeom>
        <a:ln w="15875">
          <a:solidFill>
            <a:schemeClr val="tx1"/>
          </a:solidFill>
        </a:ln>
      </xdr:spPr>
    </xdr:pic>
    <xdr:clientData/>
  </xdr:twoCellAnchor>
  <xdr:twoCellAnchor editAs="oneCell">
    <xdr:from>
      <xdr:col>2</xdr:col>
      <xdr:colOff>702310</xdr:colOff>
      <xdr:row>45</xdr:row>
      <xdr:rowOff>91440</xdr:rowOff>
    </xdr:from>
    <xdr:to>
      <xdr:col>5</xdr:col>
      <xdr:colOff>2839024</xdr:colOff>
      <xdr:row>55</xdr:row>
      <xdr:rowOff>134620</xdr:rowOff>
    </xdr:to>
    <xdr:pic>
      <xdr:nvPicPr>
        <xdr:cNvPr id="7" name="Picture 6">
          <a:extLst>
            <a:ext uri="{FF2B5EF4-FFF2-40B4-BE49-F238E27FC236}">
              <a16:creationId xmlns:a16="http://schemas.microsoft.com/office/drawing/2014/main" id="{E5DC4D43-E10C-4601-B067-10F61F2FD2F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01727" y="8293523"/>
          <a:ext cx="4418057" cy="1834727"/>
        </a:xfrm>
        <a:prstGeom prst="rect">
          <a:avLst/>
        </a:prstGeom>
        <a:ln w="15875">
          <a:solidFill>
            <a:schemeClr val="tx1"/>
          </a:solidFill>
        </a:ln>
      </xdr:spPr>
    </xdr:pic>
    <xdr:clientData/>
  </xdr:twoCellAnchor>
  <xdr:twoCellAnchor editAs="oneCell">
    <xdr:from>
      <xdr:col>0</xdr:col>
      <xdr:colOff>63500</xdr:colOff>
      <xdr:row>58</xdr:row>
      <xdr:rowOff>137583</xdr:rowOff>
    </xdr:from>
    <xdr:to>
      <xdr:col>4</xdr:col>
      <xdr:colOff>132940</xdr:colOff>
      <xdr:row>92</xdr:row>
      <xdr:rowOff>111720</xdr:rowOff>
    </xdr:to>
    <xdr:pic>
      <xdr:nvPicPr>
        <xdr:cNvPr id="8" name="Picture 7">
          <a:extLst>
            <a:ext uri="{FF2B5EF4-FFF2-40B4-BE49-F238E27FC236}">
              <a16:creationId xmlns:a16="http://schemas.microsoft.com/office/drawing/2014/main" id="{BED88A72-981F-4442-BF0F-55CD77DE8D4F}"/>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266" t="8223" r="12071" b="30675"/>
        <a:stretch/>
      </xdr:blipFill>
      <xdr:spPr>
        <a:xfrm>
          <a:off x="63500" y="10678583"/>
          <a:ext cx="5435190" cy="6091304"/>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sheetPr>
  <dimension ref="A1:AA108"/>
  <sheetViews>
    <sheetView topLeftCell="A7" zoomScale="85" zoomScaleNormal="85" workbookViewId="0">
      <selection activeCell="B7" sqref="B7"/>
    </sheetView>
  </sheetViews>
  <sheetFormatPr defaultColWidth="11.453125" defaultRowHeight="14.5"/>
  <cols>
    <col min="1" max="1" width="35.6328125" style="80" customWidth="1"/>
    <col min="2" max="2" width="42" style="80" customWidth="1"/>
    <col min="3" max="3" width="11.453125" style="80" customWidth="1"/>
    <col min="4" max="4" width="3.453125" style="80" customWidth="1"/>
    <col min="5" max="5" width="11.453125" style="80" customWidth="1"/>
    <col min="6" max="6" width="10.6328125" style="80" bestFit="1" customWidth="1"/>
    <col min="7" max="7" width="16.08984375" style="80" customWidth="1"/>
    <col min="8" max="8" width="17.1796875" style="80" customWidth="1"/>
    <col min="9" max="9" width="13.6328125" style="80" bestFit="1" customWidth="1"/>
    <col min="10" max="10" width="15.36328125" style="80" customWidth="1"/>
    <col min="11" max="11" width="13.6328125" style="80" bestFit="1" customWidth="1"/>
    <col min="12" max="13" width="13.453125" style="80" customWidth="1"/>
    <col min="14" max="257" width="9.08984375" style="80" customWidth="1"/>
    <col min="258" max="258" width="35.6328125" style="80" customWidth="1"/>
    <col min="259" max="261" width="11.453125" style="80" customWidth="1"/>
    <col min="262" max="262" width="10.6328125" style="80" bestFit="1" customWidth="1"/>
    <col min="263" max="263" width="11.453125" style="80" customWidth="1"/>
    <col min="264" max="264" width="18.81640625" style="80" customWidth="1"/>
    <col min="265" max="265" width="13.6328125" style="80" bestFit="1" customWidth="1"/>
    <col min="266" max="266" width="11.453125" style="80" customWidth="1"/>
    <col min="267" max="267" width="13.6328125" style="80" bestFit="1" customWidth="1"/>
    <col min="268" max="269" width="13.453125" style="80" customWidth="1"/>
    <col min="270" max="513" width="9.08984375" style="80" customWidth="1"/>
    <col min="514" max="514" width="35.6328125" style="80" customWidth="1"/>
    <col min="515" max="517" width="11.453125" style="80" customWidth="1"/>
    <col min="518" max="518" width="10.6328125" style="80" bestFit="1" customWidth="1"/>
    <col min="519" max="519" width="11.453125" style="80" customWidth="1"/>
    <col min="520" max="520" width="18.81640625" style="80" customWidth="1"/>
    <col min="521" max="521" width="13.6328125" style="80" bestFit="1" customWidth="1"/>
    <col min="522" max="522" width="11.453125" style="80" customWidth="1"/>
    <col min="523" max="523" width="13.6328125" style="80" bestFit="1" customWidth="1"/>
    <col min="524" max="525" width="13.453125" style="80" customWidth="1"/>
    <col min="526" max="769" width="9.08984375" style="80" customWidth="1"/>
    <col min="770" max="770" width="35.6328125" style="80" customWidth="1"/>
    <col min="771" max="773" width="11.453125" style="80" customWidth="1"/>
    <col min="774" max="774" width="10.6328125" style="80" bestFit="1" customWidth="1"/>
    <col min="775" max="775" width="11.453125" style="80" customWidth="1"/>
    <col min="776" max="776" width="18.81640625" style="80" customWidth="1"/>
    <col min="777" max="777" width="13.6328125" style="80" bestFit="1" customWidth="1"/>
    <col min="778" max="778" width="11.453125" style="80" customWidth="1"/>
    <col min="779" max="779" width="13.6328125" style="80" bestFit="1" customWidth="1"/>
    <col min="780" max="781" width="13.453125" style="80" customWidth="1"/>
    <col min="782" max="1025" width="9.08984375" style="80" customWidth="1"/>
    <col min="1026" max="1026" width="35.6328125" style="80" customWidth="1"/>
    <col min="1027" max="1029" width="11.453125" style="80" customWidth="1"/>
    <col min="1030" max="1030" width="10.6328125" style="80" bestFit="1" customWidth="1"/>
    <col min="1031" max="1031" width="11.453125" style="80" customWidth="1"/>
    <col min="1032" max="1032" width="18.81640625" style="80" customWidth="1"/>
    <col min="1033" max="1033" width="13.6328125" style="80" bestFit="1" customWidth="1"/>
    <col min="1034" max="1034" width="11.453125" style="80" customWidth="1"/>
    <col min="1035" max="1035" width="13.6328125" style="80" bestFit="1" customWidth="1"/>
    <col min="1036" max="1037" width="13.453125" style="80" customWidth="1"/>
    <col min="1038" max="1281" width="9.08984375" style="80" customWidth="1"/>
    <col min="1282" max="1282" width="35.6328125" style="80" customWidth="1"/>
    <col min="1283" max="1285" width="11.453125" style="80" customWidth="1"/>
    <col min="1286" max="1286" width="10.6328125" style="80" bestFit="1" customWidth="1"/>
    <col min="1287" max="1287" width="11.453125" style="80" customWidth="1"/>
    <col min="1288" max="1288" width="18.81640625" style="80" customWidth="1"/>
    <col min="1289" max="1289" width="13.6328125" style="80" bestFit="1" customWidth="1"/>
    <col min="1290" max="1290" width="11.453125" style="80" customWidth="1"/>
    <col min="1291" max="1291" width="13.6328125" style="80" bestFit="1" customWidth="1"/>
    <col min="1292" max="1293" width="13.453125" style="80" customWidth="1"/>
    <col min="1294" max="1537" width="9.08984375" style="80" customWidth="1"/>
    <col min="1538" max="1538" width="35.6328125" style="80" customWidth="1"/>
    <col min="1539" max="1541" width="11.453125" style="80" customWidth="1"/>
    <col min="1542" max="1542" width="10.6328125" style="80" bestFit="1" customWidth="1"/>
    <col min="1543" max="1543" width="11.453125" style="80" customWidth="1"/>
    <col min="1544" max="1544" width="18.81640625" style="80" customWidth="1"/>
    <col min="1545" max="1545" width="13.6328125" style="80" bestFit="1" customWidth="1"/>
    <col min="1546" max="1546" width="11.453125" style="80" customWidth="1"/>
    <col min="1547" max="1547" width="13.6328125" style="80" bestFit="1" customWidth="1"/>
    <col min="1548" max="1549" width="13.453125" style="80" customWidth="1"/>
    <col min="1550" max="1793" width="9.08984375" style="80" customWidth="1"/>
    <col min="1794" max="1794" width="35.6328125" style="80" customWidth="1"/>
    <col min="1795" max="1797" width="11.453125" style="80" customWidth="1"/>
    <col min="1798" max="1798" width="10.6328125" style="80" bestFit="1" customWidth="1"/>
    <col min="1799" max="1799" width="11.453125" style="80" customWidth="1"/>
    <col min="1800" max="1800" width="18.81640625" style="80" customWidth="1"/>
    <col min="1801" max="1801" width="13.6328125" style="80" bestFit="1" customWidth="1"/>
    <col min="1802" max="1802" width="11.453125" style="80" customWidth="1"/>
    <col min="1803" max="1803" width="13.6328125" style="80" bestFit="1" customWidth="1"/>
    <col min="1804" max="1805" width="13.453125" style="80" customWidth="1"/>
    <col min="1806" max="2049" width="9.08984375" style="80" customWidth="1"/>
    <col min="2050" max="2050" width="35.6328125" style="80" customWidth="1"/>
    <col min="2051" max="2053" width="11.453125" style="80" customWidth="1"/>
    <col min="2054" max="2054" width="10.6328125" style="80" bestFit="1" customWidth="1"/>
    <col min="2055" max="2055" width="11.453125" style="80" customWidth="1"/>
    <col min="2056" max="2056" width="18.81640625" style="80" customWidth="1"/>
    <col min="2057" max="2057" width="13.6328125" style="80" bestFit="1" customWidth="1"/>
    <col min="2058" max="2058" width="11.453125" style="80" customWidth="1"/>
    <col min="2059" max="2059" width="13.6328125" style="80" bestFit="1" customWidth="1"/>
    <col min="2060" max="2061" width="13.453125" style="80" customWidth="1"/>
    <col min="2062" max="2305" width="9.08984375" style="80" customWidth="1"/>
    <col min="2306" max="2306" width="35.6328125" style="80" customWidth="1"/>
    <col min="2307" max="2309" width="11.453125" style="80" customWidth="1"/>
    <col min="2310" max="2310" width="10.6328125" style="80" bestFit="1" customWidth="1"/>
    <col min="2311" max="2311" width="11.453125" style="80" customWidth="1"/>
    <col min="2312" max="2312" width="18.81640625" style="80" customWidth="1"/>
    <col min="2313" max="2313" width="13.6328125" style="80" bestFit="1" customWidth="1"/>
    <col min="2314" max="2314" width="11.453125" style="80" customWidth="1"/>
    <col min="2315" max="2315" width="13.6328125" style="80" bestFit="1" customWidth="1"/>
    <col min="2316" max="2317" width="13.453125" style="80" customWidth="1"/>
    <col min="2318" max="2561" width="9.08984375" style="80" customWidth="1"/>
    <col min="2562" max="2562" width="35.6328125" style="80" customWidth="1"/>
    <col min="2563" max="2565" width="11.453125" style="80" customWidth="1"/>
    <col min="2566" max="2566" width="10.6328125" style="80" bestFit="1" customWidth="1"/>
    <col min="2567" max="2567" width="11.453125" style="80" customWidth="1"/>
    <col min="2568" max="2568" width="18.81640625" style="80" customWidth="1"/>
    <col min="2569" max="2569" width="13.6328125" style="80" bestFit="1" customWidth="1"/>
    <col min="2570" max="2570" width="11.453125" style="80" customWidth="1"/>
    <col min="2571" max="2571" width="13.6328125" style="80" bestFit="1" customWidth="1"/>
    <col min="2572" max="2573" width="13.453125" style="80" customWidth="1"/>
    <col min="2574" max="2817" width="9.08984375" style="80" customWidth="1"/>
    <col min="2818" max="2818" width="35.6328125" style="80" customWidth="1"/>
    <col min="2819" max="2821" width="11.453125" style="80" customWidth="1"/>
    <col min="2822" max="2822" width="10.6328125" style="80" bestFit="1" customWidth="1"/>
    <col min="2823" max="2823" width="11.453125" style="80" customWidth="1"/>
    <col min="2824" max="2824" width="18.81640625" style="80" customWidth="1"/>
    <col min="2825" max="2825" width="13.6328125" style="80" bestFit="1" customWidth="1"/>
    <col min="2826" max="2826" width="11.453125" style="80" customWidth="1"/>
    <col min="2827" max="2827" width="13.6328125" style="80" bestFit="1" customWidth="1"/>
    <col min="2828" max="2829" width="13.453125" style="80" customWidth="1"/>
    <col min="2830" max="3073" width="9.08984375" style="80" customWidth="1"/>
    <col min="3074" max="3074" width="35.6328125" style="80" customWidth="1"/>
    <col min="3075" max="3077" width="11.453125" style="80" customWidth="1"/>
    <col min="3078" max="3078" width="10.6328125" style="80" bestFit="1" customWidth="1"/>
    <col min="3079" max="3079" width="11.453125" style="80" customWidth="1"/>
    <col min="3080" max="3080" width="18.81640625" style="80" customWidth="1"/>
    <col min="3081" max="3081" width="13.6328125" style="80" bestFit="1" customWidth="1"/>
    <col min="3082" max="3082" width="11.453125" style="80" customWidth="1"/>
    <col min="3083" max="3083" width="13.6328125" style="80" bestFit="1" customWidth="1"/>
    <col min="3084" max="3085" width="13.453125" style="80" customWidth="1"/>
    <col min="3086" max="3329" width="9.08984375" style="80" customWidth="1"/>
    <col min="3330" max="3330" width="35.6328125" style="80" customWidth="1"/>
    <col min="3331" max="3333" width="11.453125" style="80" customWidth="1"/>
    <col min="3334" max="3334" width="10.6328125" style="80" bestFit="1" customWidth="1"/>
    <col min="3335" max="3335" width="11.453125" style="80" customWidth="1"/>
    <col min="3336" max="3336" width="18.81640625" style="80" customWidth="1"/>
    <col min="3337" max="3337" width="13.6328125" style="80" bestFit="1" customWidth="1"/>
    <col min="3338" max="3338" width="11.453125" style="80" customWidth="1"/>
    <col min="3339" max="3339" width="13.6328125" style="80" bestFit="1" customWidth="1"/>
    <col min="3340" max="3341" width="13.453125" style="80" customWidth="1"/>
    <col min="3342" max="3585" width="9.08984375" style="80" customWidth="1"/>
    <col min="3586" max="3586" width="35.6328125" style="80" customWidth="1"/>
    <col min="3587" max="3589" width="11.453125" style="80" customWidth="1"/>
    <col min="3590" max="3590" width="10.6328125" style="80" bestFit="1" customWidth="1"/>
    <col min="3591" max="3591" width="11.453125" style="80" customWidth="1"/>
    <col min="3592" max="3592" width="18.81640625" style="80" customWidth="1"/>
    <col min="3593" max="3593" width="13.6328125" style="80" bestFit="1" customWidth="1"/>
    <col min="3594" max="3594" width="11.453125" style="80" customWidth="1"/>
    <col min="3595" max="3595" width="13.6328125" style="80" bestFit="1" customWidth="1"/>
    <col min="3596" max="3597" width="13.453125" style="80" customWidth="1"/>
    <col min="3598" max="3841" width="9.08984375" style="80" customWidth="1"/>
    <col min="3842" max="3842" width="35.6328125" style="80" customWidth="1"/>
    <col min="3843" max="3845" width="11.453125" style="80" customWidth="1"/>
    <col min="3846" max="3846" width="10.6328125" style="80" bestFit="1" customWidth="1"/>
    <col min="3847" max="3847" width="11.453125" style="80" customWidth="1"/>
    <col min="3848" max="3848" width="18.81640625" style="80" customWidth="1"/>
    <col min="3849" max="3849" width="13.6328125" style="80" bestFit="1" customWidth="1"/>
    <col min="3850" max="3850" width="11.453125" style="80" customWidth="1"/>
    <col min="3851" max="3851" width="13.6328125" style="80" bestFit="1" customWidth="1"/>
    <col min="3852" max="3853" width="13.453125" style="80" customWidth="1"/>
    <col min="3854" max="4097" width="9.08984375" style="80" customWidth="1"/>
    <col min="4098" max="4098" width="35.6328125" style="80" customWidth="1"/>
    <col min="4099" max="4101" width="11.453125" style="80" customWidth="1"/>
    <col min="4102" max="4102" width="10.6328125" style="80" bestFit="1" customWidth="1"/>
    <col min="4103" max="4103" width="11.453125" style="80" customWidth="1"/>
    <col min="4104" max="4104" width="18.81640625" style="80" customWidth="1"/>
    <col min="4105" max="4105" width="13.6328125" style="80" bestFit="1" customWidth="1"/>
    <col min="4106" max="4106" width="11.453125" style="80" customWidth="1"/>
    <col min="4107" max="4107" width="13.6328125" style="80" bestFit="1" customWidth="1"/>
    <col min="4108" max="4109" width="13.453125" style="80" customWidth="1"/>
    <col min="4110" max="4353" width="9.08984375" style="80" customWidth="1"/>
    <col min="4354" max="4354" width="35.6328125" style="80" customWidth="1"/>
    <col min="4355" max="4357" width="11.453125" style="80" customWidth="1"/>
    <col min="4358" max="4358" width="10.6328125" style="80" bestFit="1" customWidth="1"/>
    <col min="4359" max="4359" width="11.453125" style="80" customWidth="1"/>
    <col min="4360" max="4360" width="18.81640625" style="80" customWidth="1"/>
    <col min="4361" max="4361" width="13.6328125" style="80" bestFit="1" customWidth="1"/>
    <col min="4362" max="4362" width="11.453125" style="80" customWidth="1"/>
    <col min="4363" max="4363" width="13.6328125" style="80" bestFit="1" customWidth="1"/>
    <col min="4364" max="4365" width="13.453125" style="80" customWidth="1"/>
    <col min="4366" max="4609" width="9.08984375" style="80" customWidth="1"/>
    <col min="4610" max="4610" width="35.6328125" style="80" customWidth="1"/>
    <col min="4611" max="4613" width="11.453125" style="80" customWidth="1"/>
    <col min="4614" max="4614" width="10.6328125" style="80" bestFit="1" customWidth="1"/>
    <col min="4615" max="4615" width="11.453125" style="80" customWidth="1"/>
    <col min="4616" max="4616" width="18.81640625" style="80" customWidth="1"/>
    <col min="4617" max="4617" width="13.6328125" style="80" bestFit="1" customWidth="1"/>
    <col min="4618" max="4618" width="11.453125" style="80" customWidth="1"/>
    <col min="4619" max="4619" width="13.6328125" style="80" bestFit="1" customWidth="1"/>
    <col min="4620" max="4621" width="13.453125" style="80" customWidth="1"/>
    <col min="4622" max="4865" width="9.08984375" style="80" customWidth="1"/>
    <col min="4866" max="4866" width="35.6328125" style="80" customWidth="1"/>
    <col min="4867" max="4869" width="11.453125" style="80" customWidth="1"/>
    <col min="4870" max="4870" width="10.6328125" style="80" bestFit="1" customWidth="1"/>
    <col min="4871" max="4871" width="11.453125" style="80" customWidth="1"/>
    <col min="4872" max="4872" width="18.81640625" style="80" customWidth="1"/>
    <col min="4873" max="4873" width="13.6328125" style="80" bestFit="1" customWidth="1"/>
    <col min="4874" max="4874" width="11.453125" style="80" customWidth="1"/>
    <col min="4875" max="4875" width="13.6328125" style="80" bestFit="1" customWidth="1"/>
    <col min="4876" max="4877" width="13.453125" style="80" customWidth="1"/>
    <col min="4878" max="5121" width="9.08984375" style="80" customWidth="1"/>
    <col min="5122" max="5122" width="35.6328125" style="80" customWidth="1"/>
    <col min="5123" max="5125" width="11.453125" style="80" customWidth="1"/>
    <col min="5126" max="5126" width="10.6328125" style="80" bestFit="1" customWidth="1"/>
    <col min="5127" max="5127" width="11.453125" style="80" customWidth="1"/>
    <col min="5128" max="5128" width="18.81640625" style="80" customWidth="1"/>
    <col min="5129" max="5129" width="13.6328125" style="80" bestFit="1" customWidth="1"/>
    <col min="5130" max="5130" width="11.453125" style="80" customWidth="1"/>
    <col min="5131" max="5131" width="13.6328125" style="80" bestFit="1" customWidth="1"/>
    <col min="5132" max="5133" width="13.453125" style="80" customWidth="1"/>
    <col min="5134" max="5377" width="9.08984375" style="80" customWidth="1"/>
    <col min="5378" max="5378" width="35.6328125" style="80" customWidth="1"/>
    <col min="5379" max="5381" width="11.453125" style="80" customWidth="1"/>
    <col min="5382" max="5382" width="10.6328125" style="80" bestFit="1" customWidth="1"/>
    <col min="5383" max="5383" width="11.453125" style="80" customWidth="1"/>
    <col min="5384" max="5384" width="18.81640625" style="80" customWidth="1"/>
    <col min="5385" max="5385" width="13.6328125" style="80" bestFit="1" customWidth="1"/>
    <col min="5386" max="5386" width="11.453125" style="80" customWidth="1"/>
    <col min="5387" max="5387" width="13.6328125" style="80" bestFit="1" customWidth="1"/>
    <col min="5388" max="5389" width="13.453125" style="80" customWidth="1"/>
    <col min="5390" max="5633" width="9.08984375" style="80" customWidth="1"/>
    <col min="5634" max="5634" width="35.6328125" style="80" customWidth="1"/>
    <col min="5635" max="5637" width="11.453125" style="80" customWidth="1"/>
    <col min="5638" max="5638" width="10.6328125" style="80" bestFit="1" customWidth="1"/>
    <col min="5639" max="5639" width="11.453125" style="80" customWidth="1"/>
    <col min="5640" max="5640" width="18.81640625" style="80" customWidth="1"/>
    <col min="5641" max="5641" width="13.6328125" style="80" bestFit="1" customWidth="1"/>
    <col min="5642" max="5642" width="11.453125" style="80" customWidth="1"/>
    <col min="5643" max="5643" width="13.6328125" style="80" bestFit="1" customWidth="1"/>
    <col min="5644" max="5645" width="13.453125" style="80" customWidth="1"/>
    <col min="5646" max="5889" width="9.08984375" style="80" customWidth="1"/>
    <col min="5890" max="5890" width="35.6328125" style="80" customWidth="1"/>
    <col min="5891" max="5893" width="11.453125" style="80" customWidth="1"/>
    <col min="5894" max="5894" width="10.6328125" style="80" bestFit="1" customWidth="1"/>
    <col min="5895" max="5895" width="11.453125" style="80" customWidth="1"/>
    <col min="5896" max="5896" width="18.81640625" style="80" customWidth="1"/>
    <col min="5897" max="5897" width="13.6328125" style="80" bestFit="1" customWidth="1"/>
    <col min="5898" max="5898" width="11.453125" style="80" customWidth="1"/>
    <col min="5899" max="5899" width="13.6328125" style="80" bestFit="1" customWidth="1"/>
    <col min="5900" max="5901" width="13.453125" style="80" customWidth="1"/>
    <col min="5902" max="6145" width="9.08984375" style="80" customWidth="1"/>
    <col min="6146" max="6146" width="35.6328125" style="80" customWidth="1"/>
    <col min="6147" max="6149" width="11.453125" style="80" customWidth="1"/>
    <col min="6150" max="6150" width="10.6328125" style="80" bestFit="1" customWidth="1"/>
    <col min="6151" max="6151" width="11.453125" style="80" customWidth="1"/>
    <col min="6152" max="6152" width="18.81640625" style="80" customWidth="1"/>
    <col min="6153" max="6153" width="13.6328125" style="80" bestFit="1" customWidth="1"/>
    <col min="6154" max="6154" width="11.453125" style="80" customWidth="1"/>
    <col min="6155" max="6155" width="13.6328125" style="80" bestFit="1" customWidth="1"/>
    <col min="6156" max="6157" width="13.453125" style="80" customWidth="1"/>
    <col min="6158" max="6401" width="9.08984375" style="80" customWidth="1"/>
    <col min="6402" max="6402" width="35.6328125" style="80" customWidth="1"/>
    <col min="6403" max="6405" width="11.453125" style="80" customWidth="1"/>
    <col min="6406" max="6406" width="10.6328125" style="80" bestFit="1" customWidth="1"/>
    <col min="6407" max="6407" width="11.453125" style="80" customWidth="1"/>
    <col min="6408" max="6408" width="18.81640625" style="80" customWidth="1"/>
    <col min="6409" max="6409" width="13.6328125" style="80" bestFit="1" customWidth="1"/>
    <col min="6410" max="6410" width="11.453125" style="80" customWidth="1"/>
    <col min="6411" max="6411" width="13.6328125" style="80" bestFit="1" customWidth="1"/>
    <col min="6412" max="6413" width="13.453125" style="80" customWidth="1"/>
    <col min="6414" max="6657" width="9.08984375" style="80" customWidth="1"/>
    <col min="6658" max="6658" width="35.6328125" style="80" customWidth="1"/>
    <col min="6659" max="6661" width="11.453125" style="80" customWidth="1"/>
    <col min="6662" max="6662" width="10.6328125" style="80" bestFit="1" customWidth="1"/>
    <col min="6663" max="6663" width="11.453125" style="80" customWidth="1"/>
    <col min="6664" max="6664" width="18.81640625" style="80" customWidth="1"/>
    <col min="6665" max="6665" width="13.6328125" style="80" bestFit="1" customWidth="1"/>
    <col min="6666" max="6666" width="11.453125" style="80" customWidth="1"/>
    <col min="6667" max="6667" width="13.6328125" style="80" bestFit="1" customWidth="1"/>
    <col min="6668" max="6669" width="13.453125" style="80" customWidth="1"/>
    <col min="6670" max="6913" width="9.08984375" style="80" customWidth="1"/>
    <col min="6914" max="6914" width="35.6328125" style="80" customWidth="1"/>
    <col min="6915" max="6917" width="11.453125" style="80" customWidth="1"/>
    <col min="6918" max="6918" width="10.6328125" style="80" bestFit="1" customWidth="1"/>
    <col min="6919" max="6919" width="11.453125" style="80" customWidth="1"/>
    <col min="6920" max="6920" width="18.81640625" style="80" customWidth="1"/>
    <col min="6921" max="6921" width="13.6328125" style="80" bestFit="1" customWidth="1"/>
    <col min="6922" max="6922" width="11.453125" style="80" customWidth="1"/>
    <col min="6923" max="6923" width="13.6328125" style="80" bestFit="1" customWidth="1"/>
    <col min="6924" max="6925" width="13.453125" style="80" customWidth="1"/>
    <col min="6926" max="7169" width="9.08984375" style="80" customWidth="1"/>
    <col min="7170" max="7170" width="35.6328125" style="80" customWidth="1"/>
    <col min="7171" max="7173" width="11.453125" style="80" customWidth="1"/>
    <col min="7174" max="7174" width="10.6328125" style="80" bestFit="1" customWidth="1"/>
    <col min="7175" max="7175" width="11.453125" style="80" customWidth="1"/>
    <col min="7176" max="7176" width="18.81640625" style="80" customWidth="1"/>
    <col min="7177" max="7177" width="13.6328125" style="80" bestFit="1" customWidth="1"/>
    <col min="7178" max="7178" width="11.453125" style="80" customWidth="1"/>
    <col min="7179" max="7179" width="13.6328125" style="80" bestFit="1" customWidth="1"/>
    <col min="7180" max="7181" width="13.453125" style="80" customWidth="1"/>
    <col min="7182" max="7425" width="9.08984375" style="80" customWidth="1"/>
    <col min="7426" max="7426" width="35.6328125" style="80" customWidth="1"/>
    <col min="7427" max="7429" width="11.453125" style="80" customWidth="1"/>
    <col min="7430" max="7430" width="10.6328125" style="80" bestFit="1" customWidth="1"/>
    <col min="7431" max="7431" width="11.453125" style="80" customWidth="1"/>
    <col min="7432" max="7432" width="18.81640625" style="80" customWidth="1"/>
    <col min="7433" max="7433" width="13.6328125" style="80" bestFit="1" customWidth="1"/>
    <col min="7434" max="7434" width="11.453125" style="80" customWidth="1"/>
    <col min="7435" max="7435" width="13.6328125" style="80" bestFit="1" customWidth="1"/>
    <col min="7436" max="7437" width="13.453125" style="80" customWidth="1"/>
    <col min="7438" max="7681" width="9.08984375" style="80" customWidth="1"/>
    <col min="7682" max="7682" width="35.6328125" style="80" customWidth="1"/>
    <col min="7683" max="7685" width="11.453125" style="80" customWidth="1"/>
    <col min="7686" max="7686" width="10.6328125" style="80" bestFit="1" customWidth="1"/>
    <col min="7687" max="7687" width="11.453125" style="80" customWidth="1"/>
    <col min="7688" max="7688" width="18.81640625" style="80" customWidth="1"/>
    <col min="7689" max="7689" width="13.6328125" style="80" bestFit="1" customWidth="1"/>
    <col min="7690" max="7690" width="11.453125" style="80" customWidth="1"/>
    <col min="7691" max="7691" width="13.6328125" style="80" bestFit="1" customWidth="1"/>
    <col min="7692" max="7693" width="13.453125" style="80" customWidth="1"/>
    <col min="7694" max="7937" width="9.08984375" style="80" customWidth="1"/>
    <col min="7938" max="7938" width="35.6328125" style="80" customWidth="1"/>
    <col min="7939" max="7941" width="11.453125" style="80" customWidth="1"/>
    <col min="7942" max="7942" width="10.6328125" style="80" bestFit="1" customWidth="1"/>
    <col min="7943" max="7943" width="11.453125" style="80" customWidth="1"/>
    <col min="7944" max="7944" width="18.81640625" style="80" customWidth="1"/>
    <col min="7945" max="7945" width="13.6328125" style="80" bestFit="1" customWidth="1"/>
    <col min="7946" max="7946" width="11.453125" style="80" customWidth="1"/>
    <col min="7947" max="7947" width="13.6328125" style="80" bestFit="1" customWidth="1"/>
    <col min="7948" max="7949" width="13.453125" style="80" customWidth="1"/>
    <col min="7950" max="8193" width="9.08984375" style="80" customWidth="1"/>
    <col min="8194" max="8194" width="35.6328125" style="80" customWidth="1"/>
    <col min="8195" max="8197" width="11.453125" style="80" customWidth="1"/>
    <col min="8198" max="8198" width="10.6328125" style="80" bestFit="1" customWidth="1"/>
    <col min="8199" max="8199" width="11.453125" style="80" customWidth="1"/>
    <col min="8200" max="8200" width="18.81640625" style="80" customWidth="1"/>
    <col min="8201" max="8201" width="13.6328125" style="80" bestFit="1" customWidth="1"/>
    <col min="8202" max="8202" width="11.453125" style="80" customWidth="1"/>
    <col min="8203" max="8203" width="13.6328125" style="80" bestFit="1" customWidth="1"/>
    <col min="8204" max="8205" width="13.453125" style="80" customWidth="1"/>
    <col min="8206" max="8449" width="9.08984375" style="80" customWidth="1"/>
    <col min="8450" max="8450" width="35.6328125" style="80" customWidth="1"/>
    <col min="8451" max="8453" width="11.453125" style="80" customWidth="1"/>
    <col min="8454" max="8454" width="10.6328125" style="80" bestFit="1" customWidth="1"/>
    <col min="8455" max="8455" width="11.453125" style="80" customWidth="1"/>
    <col min="8456" max="8456" width="18.81640625" style="80" customWidth="1"/>
    <col min="8457" max="8457" width="13.6328125" style="80" bestFit="1" customWidth="1"/>
    <col min="8458" max="8458" width="11.453125" style="80" customWidth="1"/>
    <col min="8459" max="8459" width="13.6328125" style="80" bestFit="1" customWidth="1"/>
    <col min="8460" max="8461" width="13.453125" style="80" customWidth="1"/>
    <col min="8462" max="8705" width="9.08984375" style="80" customWidth="1"/>
    <col min="8706" max="8706" width="35.6328125" style="80" customWidth="1"/>
    <col min="8707" max="8709" width="11.453125" style="80" customWidth="1"/>
    <col min="8710" max="8710" width="10.6328125" style="80" bestFit="1" customWidth="1"/>
    <col min="8711" max="8711" width="11.453125" style="80" customWidth="1"/>
    <col min="8712" max="8712" width="18.81640625" style="80" customWidth="1"/>
    <col min="8713" max="8713" width="13.6328125" style="80" bestFit="1" customWidth="1"/>
    <col min="8714" max="8714" width="11.453125" style="80" customWidth="1"/>
    <col min="8715" max="8715" width="13.6328125" style="80" bestFit="1" customWidth="1"/>
    <col min="8716" max="8717" width="13.453125" style="80" customWidth="1"/>
    <col min="8718" max="8961" width="9.08984375" style="80" customWidth="1"/>
    <col min="8962" max="8962" width="35.6328125" style="80" customWidth="1"/>
    <col min="8963" max="8965" width="11.453125" style="80" customWidth="1"/>
    <col min="8966" max="8966" width="10.6328125" style="80" bestFit="1" customWidth="1"/>
    <col min="8967" max="8967" width="11.453125" style="80" customWidth="1"/>
    <col min="8968" max="8968" width="18.81640625" style="80" customWidth="1"/>
    <col min="8969" max="8969" width="13.6328125" style="80" bestFit="1" customWidth="1"/>
    <col min="8970" max="8970" width="11.453125" style="80" customWidth="1"/>
    <col min="8971" max="8971" width="13.6328125" style="80" bestFit="1" customWidth="1"/>
    <col min="8972" max="8973" width="13.453125" style="80" customWidth="1"/>
    <col min="8974" max="9217" width="9.08984375" style="80" customWidth="1"/>
    <col min="9218" max="9218" width="35.6328125" style="80" customWidth="1"/>
    <col min="9219" max="9221" width="11.453125" style="80" customWidth="1"/>
    <col min="9222" max="9222" width="10.6328125" style="80" bestFit="1" customWidth="1"/>
    <col min="9223" max="9223" width="11.453125" style="80" customWidth="1"/>
    <col min="9224" max="9224" width="18.81640625" style="80" customWidth="1"/>
    <col min="9225" max="9225" width="13.6328125" style="80" bestFit="1" customWidth="1"/>
    <col min="9226" max="9226" width="11.453125" style="80" customWidth="1"/>
    <col min="9227" max="9227" width="13.6328125" style="80" bestFit="1" customWidth="1"/>
    <col min="9228" max="9229" width="13.453125" style="80" customWidth="1"/>
    <col min="9230" max="9473" width="9.08984375" style="80" customWidth="1"/>
    <col min="9474" max="9474" width="35.6328125" style="80" customWidth="1"/>
    <col min="9475" max="9477" width="11.453125" style="80" customWidth="1"/>
    <col min="9478" max="9478" width="10.6328125" style="80" bestFit="1" customWidth="1"/>
    <col min="9479" max="9479" width="11.453125" style="80" customWidth="1"/>
    <col min="9480" max="9480" width="18.81640625" style="80" customWidth="1"/>
    <col min="9481" max="9481" width="13.6328125" style="80" bestFit="1" customWidth="1"/>
    <col min="9482" max="9482" width="11.453125" style="80" customWidth="1"/>
    <col min="9483" max="9483" width="13.6328125" style="80" bestFit="1" customWidth="1"/>
    <col min="9484" max="9485" width="13.453125" style="80" customWidth="1"/>
    <col min="9486" max="9729" width="9.08984375" style="80" customWidth="1"/>
    <col min="9730" max="9730" width="35.6328125" style="80" customWidth="1"/>
    <col min="9731" max="9733" width="11.453125" style="80" customWidth="1"/>
    <col min="9734" max="9734" width="10.6328125" style="80" bestFit="1" customWidth="1"/>
    <col min="9735" max="9735" width="11.453125" style="80" customWidth="1"/>
    <col min="9736" max="9736" width="18.81640625" style="80" customWidth="1"/>
    <col min="9737" max="9737" width="13.6328125" style="80" bestFit="1" customWidth="1"/>
    <col min="9738" max="9738" width="11.453125" style="80" customWidth="1"/>
    <col min="9739" max="9739" width="13.6328125" style="80" bestFit="1" customWidth="1"/>
    <col min="9740" max="9741" width="13.453125" style="80" customWidth="1"/>
    <col min="9742" max="9985" width="9.08984375" style="80" customWidth="1"/>
    <col min="9986" max="9986" width="35.6328125" style="80" customWidth="1"/>
    <col min="9987" max="9989" width="11.453125" style="80" customWidth="1"/>
    <col min="9990" max="9990" width="10.6328125" style="80" bestFit="1" customWidth="1"/>
    <col min="9991" max="9991" width="11.453125" style="80" customWidth="1"/>
    <col min="9992" max="9992" width="18.81640625" style="80" customWidth="1"/>
    <col min="9993" max="9993" width="13.6328125" style="80" bestFit="1" customWidth="1"/>
    <col min="9994" max="9994" width="11.453125" style="80" customWidth="1"/>
    <col min="9995" max="9995" width="13.6328125" style="80" bestFit="1" customWidth="1"/>
    <col min="9996" max="9997" width="13.453125" style="80" customWidth="1"/>
    <col min="9998" max="10241" width="9.08984375" style="80" customWidth="1"/>
    <col min="10242" max="10242" width="35.6328125" style="80" customWidth="1"/>
    <col min="10243" max="10245" width="11.453125" style="80" customWidth="1"/>
    <col min="10246" max="10246" width="10.6328125" style="80" bestFit="1" customWidth="1"/>
    <col min="10247" max="10247" width="11.453125" style="80" customWidth="1"/>
    <col min="10248" max="10248" width="18.81640625" style="80" customWidth="1"/>
    <col min="10249" max="10249" width="13.6328125" style="80" bestFit="1" customWidth="1"/>
    <col min="10250" max="10250" width="11.453125" style="80" customWidth="1"/>
    <col min="10251" max="10251" width="13.6328125" style="80" bestFit="1" customWidth="1"/>
    <col min="10252" max="10253" width="13.453125" style="80" customWidth="1"/>
    <col min="10254" max="10497" width="9.08984375" style="80" customWidth="1"/>
    <col min="10498" max="10498" width="35.6328125" style="80" customWidth="1"/>
    <col min="10499" max="10501" width="11.453125" style="80" customWidth="1"/>
    <col min="10502" max="10502" width="10.6328125" style="80" bestFit="1" customWidth="1"/>
    <col min="10503" max="10503" width="11.453125" style="80" customWidth="1"/>
    <col min="10504" max="10504" width="18.81640625" style="80" customWidth="1"/>
    <col min="10505" max="10505" width="13.6328125" style="80" bestFit="1" customWidth="1"/>
    <col min="10506" max="10506" width="11.453125" style="80" customWidth="1"/>
    <col min="10507" max="10507" width="13.6328125" style="80" bestFit="1" customWidth="1"/>
    <col min="10508" max="10509" width="13.453125" style="80" customWidth="1"/>
    <col min="10510" max="10753" width="9.08984375" style="80" customWidth="1"/>
    <col min="10754" max="10754" width="35.6328125" style="80" customWidth="1"/>
    <col min="10755" max="10757" width="11.453125" style="80" customWidth="1"/>
    <col min="10758" max="10758" width="10.6328125" style="80" bestFit="1" customWidth="1"/>
    <col min="10759" max="10759" width="11.453125" style="80" customWidth="1"/>
    <col min="10760" max="10760" width="18.81640625" style="80" customWidth="1"/>
    <col min="10761" max="10761" width="13.6328125" style="80" bestFit="1" customWidth="1"/>
    <col min="10762" max="10762" width="11.453125" style="80" customWidth="1"/>
    <col min="10763" max="10763" width="13.6328125" style="80" bestFit="1" customWidth="1"/>
    <col min="10764" max="10765" width="13.453125" style="80" customWidth="1"/>
    <col min="10766" max="11009" width="9.08984375" style="80" customWidth="1"/>
    <col min="11010" max="11010" width="35.6328125" style="80" customWidth="1"/>
    <col min="11011" max="11013" width="11.453125" style="80" customWidth="1"/>
    <col min="11014" max="11014" width="10.6328125" style="80" bestFit="1" customWidth="1"/>
    <col min="11015" max="11015" width="11.453125" style="80" customWidth="1"/>
    <col min="11016" max="11016" width="18.81640625" style="80" customWidth="1"/>
    <col min="11017" max="11017" width="13.6328125" style="80" bestFit="1" customWidth="1"/>
    <col min="11018" max="11018" width="11.453125" style="80" customWidth="1"/>
    <col min="11019" max="11019" width="13.6328125" style="80" bestFit="1" customWidth="1"/>
    <col min="11020" max="11021" width="13.453125" style="80" customWidth="1"/>
    <col min="11022" max="11265" width="9.08984375" style="80" customWidth="1"/>
    <col min="11266" max="11266" width="35.6328125" style="80" customWidth="1"/>
    <col min="11267" max="11269" width="11.453125" style="80" customWidth="1"/>
    <col min="11270" max="11270" width="10.6328125" style="80" bestFit="1" customWidth="1"/>
    <col min="11271" max="11271" width="11.453125" style="80" customWidth="1"/>
    <col min="11272" max="11272" width="18.81640625" style="80" customWidth="1"/>
    <col min="11273" max="11273" width="13.6328125" style="80" bestFit="1" customWidth="1"/>
    <col min="11274" max="11274" width="11.453125" style="80" customWidth="1"/>
    <col min="11275" max="11275" width="13.6328125" style="80" bestFit="1" customWidth="1"/>
    <col min="11276" max="11277" width="13.453125" style="80" customWidth="1"/>
    <col min="11278" max="11521" width="9.08984375" style="80" customWidth="1"/>
    <col min="11522" max="11522" width="35.6328125" style="80" customWidth="1"/>
    <col min="11523" max="11525" width="11.453125" style="80" customWidth="1"/>
    <col min="11526" max="11526" width="10.6328125" style="80" bestFit="1" customWidth="1"/>
    <col min="11527" max="11527" width="11.453125" style="80" customWidth="1"/>
    <col min="11528" max="11528" width="18.81640625" style="80" customWidth="1"/>
    <col min="11529" max="11529" width="13.6328125" style="80" bestFit="1" customWidth="1"/>
    <col min="11530" max="11530" width="11.453125" style="80" customWidth="1"/>
    <col min="11531" max="11531" width="13.6328125" style="80" bestFit="1" customWidth="1"/>
    <col min="11532" max="11533" width="13.453125" style="80" customWidth="1"/>
    <col min="11534" max="11777" width="9.08984375" style="80" customWidth="1"/>
    <col min="11778" max="11778" width="35.6328125" style="80" customWidth="1"/>
    <col min="11779" max="11781" width="11.453125" style="80" customWidth="1"/>
    <col min="11782" max="11782" width="10.6328125" style="80" bestFit="1" customWidth="1"/>
    <col min="11783" max="11783" width="11.453125" style="80" customWidth="1"/>
    <col min="11784" max="11784" width="18.81640625" style="80" customWidth="1"/>
    <col min="11785" max="11785" width="13.6328125" style="80" bestFit="1" customWidth="1"/>
    <col min="11786" max="11786" width="11.453125" style="80" customWidth="1"/>
    <col min="11787" max="11787" width="13.6328125" style="80" bestFit="1" customWidth="1"/>
    <col min="11788" max="11789" width="13.453125" style="80" customWidth="1"/>
    <col min="11790" max="12033" width="9.08984375" style="80" customWidth="1"/>
    <col min="12034" max="12034" width="35.6328125" style="80" customWidth="1"/>
    <col min="12035" max="12037" width="11.453125" style="80" customWidth="1"/>
    <col min="12038" max="12038" width="10.6328125" style="80" bestFit="1" customWidth="1"/>
    <col min="12039" max="12039" width="11.453125" style="80" customWidth="1"/>
    <col min="12040" max="12040" width="18.81640625" style="80" customWidth="1"/>
    <col min="12041" max="12041" width="13.6328125" style="80" bestFit="1" customWidth="1"/>
    <col min="12042" max="12042" width="11.453125" style="80" customWidth="1"/>
    <col min="12043" max="12043" width="13.6328125" style="80" bestFit="1" customWidth="1"/>
    <col min="12044" max="12045" width="13.453125" style="80" customWidth="1"/>
    <col min="12046" max="12289" width="9.08984375" style="80" customWidth="1"/>
    <col min="12290" max="12290" width="35.6328125" style="80" customWidth="1"/>
    <col min="12291" max="12293" width="11.453125" style="80" customWidth="1"/>
    <col min="12294" max="12294" width="10.6328125" style="80" bestFit="1" customWidth="1"/>
    <col min="12295" max="12295" width="11.453125" style="80" customWidth="1"/>
    <col min="12296" max="12296" width="18.81640625" style="80" customWidth="1"/>
    <col min="12297" max="12297" width="13.6328125" style="80" bestFit="1" customWidth="1"/>
    <col min="12298" max="12298" width="11.453125" style="80" customWidth="1"/>
    <col min="12299" max="12299" width="13.6328125" style="80" bestFit="1" customWidth="1"/>
    <col min="12300" max="12301" width="13.453125" style="80" customWidth="1"/>
    <col min="12302" max="12545" width="9.08984375" style="80" customWidth="1"/>
    <col min="12546" max="12546" width="35.6328125" style="80" customWidth="1"/>
    <col min="12547" max="12549" width="11.453125" style="80" customWidth="1"/>
    <col min="12550" max="12550" width="10.6328125" style="80" bestFit="1" customWidth="1"/>
    <col min="12551" max="12551" width="11.453125" style="80" customWidth="1"/>
    <col min="12552" max="12552" width="18.81640625" style="80" customWidth="1"/>
    <col min="12553" max="12553" width="13.6328125" style="80" bestFit="1" customWidth="1"/>
    <col min="12554" max="12554" width="11.453125" style="80" customWidth="1"/>
    <col min="12555" max="12555" width="13.6328125" style="80" bestFit="1" customWidth="1"/>
    <col min="12556" max="12557" width="13.453125" style="80" customWidth="1"/>
    <col min="12558" max="12801" width="9.08984375" style="80" customWidth="1"/>
    <col min="12802" max="12802" width="35.6328125" style="80" customWidth="1"/>
    <col min="12803" max="12805" width="11.453125" style="80" customWidth="1"/>
    <col min="12806" max="12806" width="10.6328125" style="80" bestFit="1" customWidth="1"/>
    <col min="12807" max="12807" width="11.453125" style="80" customWidth="1"/>
    <col min="12808" max="12808" width="18.81640625" style="80" customWidth="1"/>
    <col min="12809" max="12809" width="13.6328125" style="80" bestFit="1" customWidth="1"/>
    <col min="12810" max="12810" width="11.453125" style="80" customWidth="1"/>
    <col min="12811" max="12811" width="13.6328125" style="80" bestFit="1" customWidth="1"/>
    <col min="12812" max="12813" width="13.453125" style="80" customWidth="1"/>
    <col min="12814" max="13057" width="9.08984375" style="80" customWidth="1"/>
    <col min="13058" max="13058" width="35.6328125" style="80" customWidth="1"/>
    <col min="13059" max="13061" width="11.453125" style="80" customWidth="1"/>
    <col min="13062" max="13062" width="10.6328125" style="80" bestFit="1" customWidth="1"/>
    <col min="13063" max="13063" width="11.453125" style="80" customWidth="1"/>
    <col min="13064" max="13064" width="18.81640625" style="80" customWidth="1"/>
    <col min="13065" max="13065" width="13.6328125" style="80" bestFit="1" customWidth="1"/>
    <col min="13066" max="13066" width="11.453125" style="80" customWidth="1"/>
    <col min="13067" max="13067" width="13.6328125" style="80" bestFit="1" customWidth="1"/>
    <col min="13068" max="13069" width="13.453125" style="80" customWidth="1"/>
    <col min="13070" max="13313" width="9.08984375" style="80" customWidth="1"/>
    <col min="13314" max="13314" width="35.6328125" style="80" customWidth="1"/>
    <col min="13315" max="13317" width="11.453125" style="80" customWidth="1"/>
    <col min="13318" max="13318" width="10.6328125" style="80" bestFit="1" customWidth="1"/>
    <col min="13319" max="13319" width="11.453125" style="80" customWidth="1"/>
    <col min="13320" max="13320" width="18.81640625" style="80" customWidth="1"/>
    <col min="13321" max="13321" width="13.6328125" style="80" bestFit="1" customWidth="1"/>
    <col min="13322" max="13322" width="11.453125" style="80" customWidth="1"/>
    <col min="13323" max="13323" width="13.6328125" style="80" bestFit="1" customWidth="1"/>
    <col min="13324" max="13325" width="13.453125" style="80" customWidth="1"/>
    <col min="13326" max="13569" width="9.08984375" style="80" customWidth="1"/>
    <col min="13570" max="13570" width="35.6328125" style="80" customWidth="1"/>
    <col min="13571" max="13573" width="11.453125" style="80" customWidth="1"/>
    <col min="13574" max="13574" width="10.6328125" style="80" bestFit="1" customWidth="1"/>
    <col min="13575" max="13575" width="11.453125" style="80" customWidth="1"/>
    <col min="13576" max="13576" width="18.81640625" style="80" customWidth="1"/>
    <col min="13577" max="13577" width="13.6328125" style="80" bestFit="1" customWidth="1"/>
    <col min="13578" max="13578" width="11.453125" style="80" customWidth="1"/>
    <col min="13579" max="13579" width="13.6328125" style="80" bestFit="1" customWidth="1"/>
    <col min="13580" max="13581" width="13.453125" style="80" customWidth="1"/>
    <col min="13582" max="13825" width="9.08984375" style="80" customWidth="1"/>
    <col min="13826" max="13826" width="35.6328125" style="80" customWidth="1"/>
    <col min="13827" max="13829" width="11.453125" style="80" customWidth="1"/>
    <col min="13830" max="13830" width="10.6328125" style="80" bestFit="1" customWidth="1"/>
    <col min="13831" max="13831" width="11.453125" style="80" customWidth="1"/>
    <col min="13832" max="13832" width="18.81640625" style="80" customWidth="1"/>
    <col min="13833" max="13833" width="13.6328125" style="80" bestFit="1" customWidth="1"/>
    <col min="13834" max="13834" width="11.453125" style="80" customWidth="1"/>
    <col min="13835" max="13835" width="13.6328125" style="80" bestFit="1" customWidth="1"/>
    <col min="13836" max="13837" width="13.453125" style="80" customWidth="1"/>
    <col min="13838" max="14081" width="9.08984375" style="80" customWidth="1"/>
    <col min="14082" max="14082" width="35.6328125" style="80" customWidth="1"/>
    <col min="14083" max="14085" width="11.453125" style="80" customWidth="1"/>
    <col min="14086" max="14086" width="10.6328125" style="80" bestFit="1" customWidth="1"/>
    <col min="14087" max="14087" width="11.453125" style="80" customWidth="1"/>
    <col min="14088" max="14088" width="18.81640625" style="80" customWidth="1"/>
    <col min="14089" max="14089" width="13.6328125" style="80" bestFit="1" customWidth="1"/>
    <col min="14090" max="14090" width="11.453125" style="80" customWidth="1"/>
    <col min="14091" max="14091" width="13.6328125" style="80" bestFit="1" customWidth="1"/>
    <col min="14092" max="14093" width="13.453125" style="80" customWidth="1"/>
    <col min="14094" max="14337" width="9.08984375" style="80" customWidth="1"/>
    <col min="14338" max="14338" width="35.6328125" style="80" customWidth="1"/>
    <col min="14339" max="14341" width="11.453125" style="80" customWidth="1"/>
    <col min="14342" max="14342" width="10.6328125" style="80" bestFit="1" customWidth="1"/>
    <col min="14343" max="14343" width="11.453125" style="80" customWidth="1"/>
    <col min="14344" max="14344" width="18.81640625" style="80" customWidth="1"/>
    <col min="14345" max="14345" width="13.6328125" style="80" bestFit="1" customWidth="1"/>
    <col min="14346" max="14346" width="11.453125" style="80" customWidth="1"/>
    <col min="14347" max="14347" width="13.6328125" style="80" bestFit="1" customWidth="1"/>
    <col min="14348" max="14349" width="13.453125" style="80" customWidth="1"/>
    <col min="14350" max="14593" width="9.08984375" style="80" customWidth="1"/>
    <col min="14594" max="14594" width="35.6328125" style="80" customWidth="1"/>
    <col min="14595" max="14597" width="11.453125" style="80" customWidth="1"/>
    <col min="14598" max="14598" width="10.6328125" style="80" bestFit="1" customWidth="1"/>
    <col min="14599" max="14599" width="11.453125" style="80" customWidth="1"/>
    <col min="14600" max="14600" width="18.81640625" style="80" customWidth="1"/>
    <col min="14601" max="14601" width="13.6328125" style="80" bestFit="1" customWidth="1"/>
    <col min="14602" max="14602" width="11.453125" style="80" customWidth="1"/>
    <col min="14603" max="14603" width="13.6328125" style="80" bestFit="1" customWidth="1"/>
    <col min="14604" max="14605" width="13.453125" style="80" customWidth="1"/>
    <col min="14606" max="14849" width="9.08984375" style="80" customWidth="1"/>
    <col min="14850" max="14850" width="35.6328125" style="80" customWidth="1"/>
    <col min="14851" max="14853" width="11.453125" style="80" customWidth="1"/>
    <col min="14854" max="14854" width="10.6328125" style="80" bestFit="1" customWidth="1"/>
    <col min="14855" max="14855" width="11.453125" style="80" customWidth="1"/>
    <col min="14856" max="14856" width="18.81640625" style="80" customWidth="1"/>
    <col min="14857" max="14857" width="13.6328125" style="80" bestFit="1" customWidth="1"/>
    <col min="14858" max="14858" width="11.453125" style="80" customWidth="1"/>
    <col min="14859" max="14859" width="13.6328125" style="80" bestFit="1" customWidth="1"/>
    <col min="14860" max="14861" width="13.453125" style="80" customWidth="1"/>
    <col min="14862" max="15105" width="9.08984375" style="80" customWidth="1"/>
    <col min="15106" max="15106" width="35.6328125" style="80" customWidth="1"/>
    <col min="15107" max="15109" width="11.453125" style="80" customWidth="1"/>
    <col min="15110" max="15110" width="10.6328125" style="80" bestFit="1" customWidth="1"/>
    <col min="15111" max="15111" width="11.453125" style="80" customWidth="1"/>
    <col min="15112" max="15112" width="18.81640625" style="80" customWidth="1"/>
    <col min="15113" max="15113" width="13.6328125" style="80" bestFit="1" customWidth="1"/>
    <col min="15114" max="15114" width="11.453125" style="80" customWidth="1"/>
    <col min="15115" max="15115" width="13.6328125" style="80" bestFit="1" customWidth="1"/>
    <col min="15116" max="15117" width="13.453125" style="80" customWidth="1"/>
    <col min="15118" max="15361" width="9.08984375" style="80" customWidth="1"/>
    <col min="15362" max="15362" width="35.6328125" style="80" customWidth="1"/>
    <col min="15363" max="15365" width="11.453125" style="80" customWidth="1"/>
    <col min="15366" max="15366" width="10.6328125" style="80" bestFit="1" customWidth="1"/>
    <col min="15367" max="15367" width="11.453125" style="80" customWidth="1"/>
    <col min="15368" max="15368" width="18.81640625" style="80" customWidth="1"/>
    <col min="15369" max="15369" width="13.6328125" style="80" bestFit="1" customWidth="1"/>
    <col min="15370" max="15370" width="11.453125" style="80" customWidth="1"/>
    <col min="15371" max="15371" width="13.6328125" style="80" bestFit="1" customWidth="1"/>
    <col min="15372" max="15373" width="13.453125" style="80" customWidth="1"/>
    <col min="15374" max="15617" width="9.08984375" style="80" customWidth="1"/>
    <col min="15618" max="15618" width="35.6328125" style="80" customWidth="1"/>
    <col min="15619" max="15621" width="11.453125" style="80" customWidth="1"/>
    <col min="15622" max="15622" width="10.6328125" style="80" bestFit="1" customWidth="1"/>
    <col min="15623" max="15623" width="11.453125" style="80" customWidth="1"/>
    <col min="15624" max="15624" width="18.81640625" style="80" customWidth="1"/>
    <col min="15625" max="15625" width="13.6328125" style="80" bestFit="1" customWidth="1"/>
    <col min="15626" max="15626" width="11.453125" style="80" customWidth="1"/>
    <col min="15627" max="15627" width="13.6328125" style="80" bestFit="1" customWidth="1"/>
    <col min="15628" max="15629" width="13.453125" style="80" customWidth="1"/>
    <col min="15630" max="15873" width="9.08984375" style="80" customWidth="1"/>
    <col min="15874" max="15874" width="35.6328125" style="80" customWidth="1"/>
    <col min="15875" max="15877" width="11.453125" style="80" customWidth="1"/>
    <col min="15878" max="15878" width="10.6328125" style="80" bestFit="1" customWidth="1"/>
    <col min="15879" max="15879" width="11.453125" style="80" customWidth="1"/>
    <col min="15880" max="15880" width="18.81640625" style="80" customWidth="1"/>
    <col min="15881" max="15881" width="13.6328125" style="80" bestFit="1" customWidth="1"/>
    <col min="15882" max="15882" width="11.453125" style="80" customWidth="1"/>
    <col min="15883" max="15883" width="13.6328125" style="80" bestFit="1" customWidth="1"/>
    <col min="15884" max="15885" width="13.453125" style="80" customWidth="1"/>
    <col min="15886" max="16129" width="9.08984375" style="80" customWidth="1"/>
    <col min="16130" max="16130" width="35.6328125" style="80" customWidth="1"/>
    <col min="16131" max="16133" width="11.453125" style="80" customWidth="1"/>
    <col min="16134" max="16134" width="10.6328125" style="80" bestFit="1" customWidth="1"/>
    <col min="16135" max="16135" width="11.453125" style="80" customWidth="1"/>
    <col min="16136" max="16136" width="18.81640625" style="80" customWidth="1"/>
    <col min="16137" max="16137" width="13.6328125" style="80" bestFit="1" customWidth="1"/>
    <col min="16138" max="16138" width="11.453125" style="80" customWidth="1"/>
    <col min="16139" max="16139" width="13.6328125" style="80" bestFit="1" customWidth="1"/>
    <col min="16140" max="16141" width="13.453125" style="80" customWidth="1"/>
    <col min="16142" max="16384" width="9.08984375" style="80" customWidth="1"/>
  </cols>
  <sheetData>
    <row r="1" spans="1:15">
      <c r="A1" s="55" t="s">
        <v>101</v>
      </c>
      <c r="B1" s="56"/>
      <c r="C1" s="56"/>
      <c r="D1" s="56"/>
      <c r="E1" s="56"/>
      <c r="F1" s="56"/>
      <c r="G1" s="55"/>
      <c r="H1" s="56"/>
      <c r="I1" s="57" t="s">
        <v>115</v>
      </c>
      <c r="J1" s="57"/>
      <c r="K1" s="57"/>
      <c r="L1" s="57"/>
      <c r="M1" s="56"/>
      <c r="N1" s="56"/>
    </row>
    <row r="2" spans="1:15">
      <c r="A2" s="58" t="s">
        <v>173</v>
      </c>
      <c r="B2" s="56"/>
      <c r="C2" s="56"/>
      <c r="D2" s="56"/>
      <c r="E2" s="56"/>
      <c r="F2" s="56"/>
      <c r="G2" s="56"/>
      <c r="H2" s="56"/>
      <c r="I2" s="57" t="s">
        <v>116</v>
      </c>
      <c r="J2" s="57"/>
      <c r="K2" s="57"/>
      <c r="L2" s="57"/>
      <c r="M2" s="56"/>
      <c r="N2" s="56"/>
    </row>
    <row r="3" spans="1:15" ht="16.25" customHeight="1">
      <c r="A3" s="118" t="s">
        <v>189</v>
      </c>
      <c r="B3" s="56"/>
      <c r="C3" s="56"/>
      <c r="D3" s="56"/>
      <c r="E3" s="56"/>
      <c r="F3" s="56"/>
      <c r="G3" s="56"/>
      <c r="H3" s="56"/>
      <c r="I3" s="57" t="s">
        <v>117</v>
      </c>
      <c r="J3" s="57"/>
      <c r="K3" s="57"/>
      <c r="L3" s="57"/>
      <c r="M3" s="56"/>
      <c r="N3" s="56"/>
    </row>
    <row r="4" spans="1:15">
      <c r="A4" s="59"/>
      <c r="B4" s="56"/>
      <c r="C4" s="56"/>
      <c r="D4" s="56"/>
      <c r="E4" s="56"/>
      <c r="F4" s="56"/>
      <c r="G4" s="56"/>
      <c r="H4" s="56"/>
      <c r="I4" s="57" t="s">
        <v>124</v>
      </c>
      <c r="J4" s="87"/>
      <c r="K4" s="57" t="s">
        <v>115</v>
      </c>
      <c r="L4" s="57"/>
      <c r="M4" s="56"/>
      <c r="N4" s="56"/>
    </row>
    <row r="5" spans="1:15">
      <c r="A5" s="60" t="s">
        <v>0</v>
      </c>
      <c r="B5" s="56"/>
      <c r="C5" s="56"/>
      <c r="D5" s="56"/>
      <c r="E5" s="56"/>
      <c r="F5" s="56"/>
      <c r="G5" s="56"/>
      <c r="H5" s="56"/>
      <c r="I5" s="56"/>
      <c r="J5" s="56"/>
      <c r="K5" s="56"/>
      <c r="L5" s="56"/>
      <c r="M5" s="56"/>
      <c r="N5" s="56"/>
    </row>
    <row r="6" spans="1:15" ht="15" thickBot="1">
      <c r="A6" s="104" t="s">
        <v>1</v>
      </c>
      <c r="B6" s="88"/>
      <c r="C6" s="56"/>
      <c r="D6" s="56"/>
      <c r="E6" s="56"/>
      <c r="F6" s="56"/>
      <c r="G6" s="56"/>
      <c r="H6" s="56"/>
      <c r="I6" s="56"/>
      <c r="J6" s="56"/>
      <c r="K6" s="56"/>
      <c r="L6" s="56"/>
      <c r="M6" s="56"/>
      <c r="N6" s="56"/>
    </row>
    <row r="7" spans="1:15" ht="16" thickTop="1" thickBot="1">
      <c r="A7" s="61" t="s">
        <v>114</v>
      </c>
      <c r="B7" s="109" t="s">
        <v>124</v>
      </c>
      <c r="C7" s="106" t="s">
        <v>150</v>
      </c>
      <c r="D7" s="107"/>
      <c r="E7" s="108"/>
      <c r="F7" s="108"/>
      <c r="G7" s="108"/>
      <c r="H7" s="62" t="s">
        <v>166</v>
      </c>
      <c r="I7" s="56"/>
      <c r="J7" s="56"/>
      <c r="K7" s="56"/>
      <c r="L7" s="56"/>
      <c r="M7" s="56"/>
      <c r="N7" s="56"/>
    </row>
    <row r="8" spans="1:15" ht="17" thickTop="1" thickBot="1">
      <c r="A8" s="58" t="s">
        <v>155</v>
      </c>
      <c r="B8" s="45">
        <v>0.19800000000000001</v>
      </c>
      <c r="C8" s="56"/>
      <c r="D8" s="89" t="s">
        <v>98</v>
      </c>
      <c r="E8" s="90" t="s">
        <v>3</v>
      </c>
      <c r="F8" s="90"/>
      <c r="G8" s="90"/>
      <c r="H8" s="63" t="s">
        <v>165</v>
      </c>
      <c r="I8" s="64" t="s">
        <v>5</v>
      </c>
      <c r="J8" s="64" t="s">
        <v>6</v>
      </c>
      <c r="K8" s="64" t="s">
        <v>7</v>
      </c>
      <c r="L8" s="64" t="s">
        <v>8</v>
      </c>
      <c r="M8" s="64" t="s">
        <v>9</v>
      </c>
      <c r="N8" s="56"/>
    </row>
    <row r="9" spans="1:15" ht="16.5" thickTop="1">
      <c r="A9" s="58" t="s">
        <v>156</v>
      </c>
      <c r="B9" s="45">
        <v>0.5</v>
      </c>
      <c r="C9" s="56" t="s">
        <v>10</v>
      </c>
      <c r="D9" s="89" t="s">
        <v>99</v>
      </c>
      <c r="E9" s="90" t="s">
        <v>160</v>
      </c>
      <c r="F9" s="90"/>
      <c r="G9" s="90"/>
      <c r="H9" s="65">
        <v>0.02</v>
      </c>
      <c r="I9" s="66">
        <f>IF($B$7=$I$4,'Model Coefficients_Crustal'!AD4,IF($B$7=$I$1,'Model Coefficients_Crustal'!AE4,IF($B$7=$I$2,'Model Coefficients_Crustal'!AF4,IF($B$7=$I$3,'Model Coefficients_Crustal'!AG4,100))))</f>
        <v>0</v>
      </c>
      <c r="J9" s="67">
        <f>EXP('Model Coefficients_Crustal'!$B$17+'Model Coefficients_Crustal'!$B$18*LN(H9)+'Model Coefficients_Crustal'!$B$19*LN(H9)^2+'Model Coefficients_Crustal'!$B$20*LN(H9)*LN('Seismic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404.42363406940001</v>
      </c>
      <c r="K9" s="68">
        <f t="shared" ref="K9:K16" si="0">IF(ISERROR(EXP(LN($J9)+$B$24*NORMSINV(1-0.5/(1-$I9)))),"&lt;0.5",EXP(LN($J9)+$B$24*NORMSINV(1-0.5/(1-$I9))))</f>
        <v>404.42363406940001</v>
      </c>
      <c r="L9" s="68">
        <f t="shared" ref="L9:L16" si="1">IF(ISERROR(EXP(LN($J9)+$B$24*NORMSINV(1-0.16/(1-$I9)))),"&lt;0.5",EXP(LN($J9)+$B$24*NORMSINV(1-0.16/(1-$I9))))</f>
        <v>840.82531705948668</v>
      </c>
      <c r="M9" s="68">
        <f t="shared" ref="M9:M16" si="2">IF(ISERROR(EXP(LN($J9)+$B$24*NORMSINV(1-0.84/(1-$I9)))),"&lt;0.5",EXP(LN($J9)+$B$24*NORMSINV(1-0.84/(1-$I9))))</f>
        <v>194.52135000631594</v>
      </c>
      <c r="N9" s="56"/>
      <c r="O9" s="65"/>
    </row>
    <row r="10" spans="1:15" ht="15.5">
      <c r="A10" s="58" t="s">
        <v>157</v>
      </c>
      <c r="B10" s="33">
        <f>B9*1.3</f>
        <v>0.65</v>
      </c>
      <c r="C10" s="56" t="s">
        <v>10</v>
      </c>
      <c r="D10" s="89" t="s">
        <v>100</v>
      </c>
      <c r="E10" s="90" t="s">
        <v>149</v>
      </c>
      <c r="F10" s="90"/>
      <c r="G10" s="90"/>
      <c r="H10" s="69">
        <v>0.05</v>
      </c>
      <c r="I10" s="66">
        <f>IF($B$7=$I$4,'Model Coefficients_Crustal'!AD5,IF($B$7=$I$1,'Model Coefficients_Crustal'!AE5,IF($B$7=$I$2,'Model Coefficients_Crustal'!AF5,IF($B$7=$I$3,'Model Coefficients_Crustal'!AG5,100))))</f>
        <v>1.4510614931850796E-13</v>
      </c>
      <c r="J10" s="68">
        <f>EXP('Model Coefficients_Crustal'!$B$17+'Model Coefficients_Crustal'!$B$18*LN(H10)+'Model Coefficients_Crustal'!$B$19*LN(H10)^2+'Model Coefficients_Crustal'!$B$20*LN(H10)*LN('Seismic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194.55466722551307</v>
      </c>
      <c r="K10" s="68">
        <f t="shared" si="0"/>
        <v>194.55466722548698</v>
      </c>
      <c r="L10" s="68">
        <f t="shared" si="1"/>
        <v>404.49290292271047</v>
      </c>
      <c r="M10" s="68">
        <f t="shared" si="2"/>
        <v>93.577707459668403</v>
      </c>
      <c r="N10" s="56"/>
      <c r="O10" s="69"/>
    </row>
    <row r="11" spans="1:15" ht="15.5">
      <c r="A11" s="58" t="s">
        <v>158</v>
      </c>
      <c r="B11" s="46">
        <v>7.5</v>
      </c>
      <c r="C11" s="56"/>
      <c r="D11" s="89"/>
      <c r="E11" s="90" t="s">
        <v>148</v>
      </c>
      <c r="F11" s="90"/>
      <c r="G11" s="90"/>
      <c r="H11" s="69">
        <v>7.0000000000000007E-2</v>
      </c>
      <c r="I11" s="66">
        <f>IF($B$7=$I$4,'Model Coefficients_Crustal'!AD6,IF($B$7=$I$1,'Model Coefficients_Crustal'!AE6,IF($B$7=$I$2,'Model Coefficients_Crustal'!AF6,IF($B$7=$I$3,'Model Coefficients_Crustal'!AG6,100))))</f>
        <v>7.5168649082968386E-11</v>
      </c>
      <c r="J11" s="68">
        <f>EXP('Model Coefficients_Crustal'!$B$17+'Model Coefficients_Crustal'!$B$18*LN(H11)+'Model Coefficients_Crustal'!$B$19*LN(H11)^2+'Model Coefficients_Crustal'!$B$20*LN(H11)*LN('Seismic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134.11988789111459</v>
      </c>
      <c r="K11" s="68">
        <f t="shared" si="0"/>
        <v>134.11988788181495</v>
      </c>
      <c r="L11" s="68">
        <f t="shared" si="1"/>
        <v>278.84472556956177</v>
      </c>
      <c r="M11" s="68">
        <f t="shared" si="2"/>
        <v>64.509537654308687</v>
      </c>
      <c r="N11" s="56"/>
      <c r="O11" s="69"/>
    </row>
    <row r="12" spans="1:15" ht="16">
      <c r="A12" s="58" t="s">
        <v>159</v>
      </c>
      <c r="B12" s="45">
        <v>1</v>
      </c>
      <c r="C12" s="56" t="s">
        <v>12</v>
      </c>
      <c r="D12" s="89"/>
      <c r="E12" s="90" t="s">
        <v>14</v>
      </c>
      <c r="F12" s="90"/>
      <c r="G12" s="90"/>
      <c r="H12" s="69">
        <v>0.1</v>
      </c>
      <c r="I12" s="66">
        <f>IF($B$7=$I$4,'Model Coefficients_Crustal'!AD7,IF($B$7=$I$1,'Model Coefficients_Crustal'!AE7,IF($B$7=$I$2,'Model Coefficients_Crustal'!AF7,IF($B$7=$I$3,'Model Coefficients_Crustal'!AG7,100))))</f>
        <v>2.8511521477092572E-8</v>
      </c>
      <c r="J12" s="68">
        <f>EXP('Model Coefficients_Crustal'!$B$17+'Model Coefficients_Crustal'!$B$18*LN(H12)+'Model Coefficients_Crustal'!$B$19*LN(H12)^2+'Model Coefficients_Crustal'!$B$20*LN(H12)*LN('Seismic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85.101905750877478</v>
      </c>
      <c r="K12" s="68">
        <f t="shared" si="0"/>
        <v>85.101903512684956</v>
      </c>
      <c r="L12" s="68">
        <f t="shared" si="1"/>
        <v>176.93287402103954</v>
      </c>
      <c r="M12" s="68">
        <f t="shared" si="2"/>
        <v>40.932663180236105</v>
      </c>
      <c r="N12" s="56"/>
      <c r="O12" s="69"/>
    </row>
    <row r="13" spans="1:15">
      <c r="A13" s="80" t="s">
        <v>175</v>
      </c>
      <c r="B13" s="110" t="str">
        <f>+IF(B7="PulsesD50 (EQ6&amp;7)","Enter the PGV estimate below",IF(B7="PulsesD100 (EQ4&amp;5)","Enter the PGV estimate below",IF(B7="Deterministic-Pseudoprobabilistic (EQ8&amp;9)"," Both Ordinary &amp; Pulse Motions"," PGV is not used in this case, enter 1 below")))</f>
        <v xml:space="preserve"> Both Ordinary &amp; Pulse Motions</v>
      </c>
      <c r="D13" s="89" t="s">
        <v>138</v>
      </c>
      <c r="E13" s="91" t="s">
        <v>154</v>
      </c>
      <c r="F13" s="90"/>
      <c r="G13" s="90"/>
      <c r="H13" s="69">
        <v>0.15</v>
      </c>
      <c r="I13" s="66">
        <f>IF($B$7=$I$4,'Model Coefficients_Crustal'!AD8,IF($B$7=$I$1,'Model Coefficients_Crustal'!AE8,IF($B$7=$I$2,'Model Coefficients_Crustal'!AF8,IF($B$7=$I$3,'Model Coefficients_Crustal'!AG8,100))))</f>
        <v>9.3443532399595242E-6</v>
      </c>
      <c r="J13" s="68">
        <f>EXP('Model Coefficients_Crustal'!$B$17+'Model Coefficients_Crustal'!$B$18*LN(H13)+'Model Coefficients_Crustal'!$B$19*LN(H13)^2+'Model Coefficients_Crustal'!$B$20*LN(H13)*LN('Seismic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47.041497809539749</v>
      </c>
      <c r="K13" s="68">
        <f t="shared" si="0"/>
        <v>47.041092328708501</v>
      </c>
      <c r="L13" s="68">
        <f t="shared" si="1"/>
        <v>97.802156190006045</v>
      </c>
      <c r="M13" s="68">
        <f t="shared" si="2"/>
        <v>22.625676692672748</v>
      </c>
      <c r="N13" s="56"/>
      <c r="O13" s="69"/>
    </row>
    <row r="14" spans="1:15" ht="15.5">
      <c r="A14" s="56" t="s">
        <v>152</v>
      </c>
      <c r="B14" s="46">
        <v>1</v>
      </c>
      <c r="C14" s="56" t="s">
        <v>70</v>
      </c>
      <c r="D14" s="89"/>
      <c r="E14" s="91" t="s">
        <v>191</v>
      </c>
      <c r="F14" s="91"/>
      <c r="G14" s="91"/>
      <c r="H14" s="69">
        <v>0.2</v>
      </c>
      <c r="I14" s="66">
        <f>IF($B$7=$I$4,'Model Coefficients_Crustal'!AD9,IF($B$7=$I$1,'Model Coefficients_Crustal'!AE9,IF($B$7=$I$2,'Model Coefficients_Crustal'!AF9,IF($B$7=$I$3,'Model Coefficients_Crustal'!AG9,100))))</f>
        <v>2.8909896079665209E-4</v>
      </c>
      <c r="J14" s="68">
        <f>EXP('Model Coefficients_Crustal'!$B$17+'Model Coefficients_Crustal'!$B$18*LN(H14)+'Model Coefficients_Crustal'!$B$19*LN(H14)^2+'Model Coefficients_Crustal'!$B$20*LN(H14)*LN('Seismic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29.4167339192119</v>
      </c>
      <c r="K14" s="68">
        <f t="shared" si="0"/>
        <v>29.408887953716047</v>
      </c>
      <c r="L14" s="68">
        <f t="shared" si="1"/>
        <v>61.150910258420716</v>
      </c>
      <c r="M14" s="68">
        <f t="shared" si="2"/>
        <v>14.13858424404579</v>
      </c>
      <c r="N14" s="56"/>
      <c r="O14" s="69"/>
    </row>
    <row r="15" spans="1:15" ht="15.5">
      <c r="A15" s="70" t="s">
        <v>153</v>
      </c>
      <c r="B15" s="119" t="str">
        <f>IF(B7="PulsesD50 (EQ6&amp;7)",50,IF(B7="PulsesD100 (EQ4&amp;5)",100,IF(B7="Deterministic-Pseudoprobabilistic (EQ8&amp;9)"," Both Ordinary &amp; Pulse Motions","No Pulse")))</f>
        <v xml:space="preserve"> Both Ordinary &amp; Pulse Motions</v>
      </c>
      <c r="D15" s="91"/>
      <c r="E15" s="91" t="s">
        <v>192</v>
      </c>
      <c r="F15" s="91"/>
      <c r="G15" s="91"/>
      <c r="H15" s="69">
        <v>0.3</v>
      </c>
      <c r="I15" s="66">
        <f>IF($B$7=$I$4,'Model Coefficients_Crustal'!AD10,IF($B$7=$I$1,'Model Coefficients_Crustal'!AE10,IF($B$7=$I$2,'Model Coefficients_Crustal'!AF10,IF($B$7=$I$3,'Model Coefficients_Crustal'!AG10,100))))</f>
        <v>1.2996938278033721E-2</v>
      </c>
      <c r="J15" s="68">
        <f>EXP('Model Coefficients_Crustal'!$B$17+'Model Coefficients_Crustal'!$B$18*LN(H15)+'Model Coefficients_Crustal'!$B$19*LN(H15)^2+'Model Coefficients_Crustal'!$B$20*LN(H15)*LN('Seismic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14.16864436500715</v>
      </c>
      <c r="K15" s="68">
        <f t="shared" si="0"/>
        <v>13.997574606869522</v>
      </c>
      <c r="L15" s="68">
        <f t="shared" si="1"/>
        <v>29.271267140204809</v>
      </c>
      <c r="M15" s="68">
        <f t="shared" si="2"/>
        <v>6.5854236319094852</v>
      </c>
      <c r="N15" s="56"/>
      <c r="O15" s="69"/>
    </row>
    <row r="16" spans="1:15" ht="15" thickBot="1">
      <c r="A16" s="71" t="s">
        <v>13</v>
      </c>
      <c r="B16" s="72"/>
      <c r="C16" s="56"/>
      <c r="D16" s="92"/>
      <c r="E16" s="91" t="s">
        <v>193</v>
      </c>
      <c r="F16" s="90"/>
      <c r="G16" s="90"/>
      <c r="H16" s="73">
        <v>0.4</v>
      </c>
      <c r="I16" s="74">
        <f>IF($B$7=$I$4,'Model Coefficients_Crustal'!AD11,IF($B$7=$I$1,'Model Coefficients_Crustal'!AE11,IF($B$7=$I$2,'Model Coefficients_Crustal'!AF11,IF($B$7=$I$3,'Model Coefficients_Crustal'!AG11,100))))</f>
        <v>9.0109840045496492E-2</v>
      </c>
      <c r="J16" s="75">
        <f>EXP('Model Coefficients_Crustal'!$B$17+'Model Coefficients_Crustal'!$B$18*LN(H16)+'Model Coefficients_Crustal'!$B$19*LN(H16)^2+'Model Coefficients_Crustal'!$B$20*LN(H16)*LN('Seismic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8.0353935728255959</v>
      </c>
      <c r="K16" s="76">
        <f t="shared" si="0"/>
        <v>7.3321407521349231</v>
      </c>
      <c r="L16" s="76">
        <f t="shared" si="1"/>
        <v>15.947524237898699</v>
      </c>
      <c r="M16" s="76">
        <f t="shared" si="2"/>
        <v>2.8114342845502915</v>
      </c>
      <c r="N16" s="56"/>
      <c r="O16" s="69"/>
    </row>
    <row r="17" spans="1:14" ht="15" thickTop="1">
      <c r="A17" s="77" t="s">
        <v>15</v>
      </c>
      <c r="B17" s="28">
        <v>84</v>
      </c>
      <c r="C17" s="56" t="s">
        <v>16</v>
      </c>
      <c r="D17" s="90" t="s">
        <v>139</v>
      </c>
      <c r="E17" s="90" t="s">
        <v>140</v>
      </c>
      <c r="F17" s="93"/>
      <c r="G17" s="90"/>
      <c r="H17" s="56"/>
      <c r="I17" s="56"/>
      <c r="J17" s="56"/>
      <c r="K17" s="56"/>
      <c r="L17" s="56"/>
      <c r="M17" s="56"/>
      <c r="N17" s="56"/>
    </row>
    <row r="18" spans="1:14">
      <c r="A18" s="77" t="s">
        <v>17</v>
      </c>
      <c r="B18" s="28">
        <v>50</v>
      </c>
      <c r="C18" s="56" t="s">
        <v>16</v>
      </c>
      <c r="D18" s="90"/>
      <c r="E18" s="90" t="s">
        <v>141</v>
      </c>
      <c r="F18" s="93"/>
      <c r="G18" s="90"/>
      <c r="H18" s="56"/>
      <c r="I18" s="56"/>
      <c r="J18" s="56"/>
      <c r="K18" s="56"/>
      <c r="L18" s="56"/>
      <c r="M18" s="56"/>
      <c r="N18" s="56"/>
    </row>
    <row r="19" spans="1:14">
      <c r="A19" s="77" t="s">
        <v>18</v>
      </c>
      <c r="B19" s="28">
        <v>16</v>
      </c>
      <c r="C19" s="56" t="s">
        <v>16</v>
      </c>
      <c r="D19" s="56"/>
      <c r="E19" s="90" t="s">
        <v>142</v>
      </c>
      <c r="F19" s="78"/>
      <c r="G19" s="56"/>
      <c r="H19" s="56"/>
      <c r="I19" s="56"/>
      <c r="J19" s="56"/>
      <c r="K19" s="56"/>
      <c r="L19" s="56"/>
      <c r="M19" s="56"/>
      <c r="N19" s="56"/>
    </row>
    <row r="20" spans="1:14">
      <c r="A20" s="79" t="s">
        <v>19</v>
      </c>
      <c r="B20" s="27">
        <v>30</v>
      </c>
      <c r="C20" s="56" t="s">
        <v>20</v>
      </c>
      <c r="D20" s="56"/>
      <c r="E20" s="56"/>
      <c r="F20" s="78"/>
      <c r="G20" s="56"/>
      <c r="H20" s="56"/>
      <c r="I20" s="56"/>
      <c r="J20" s="56"/>
      <c r="K20" s="56"/>
      <c r="L20" s="56"/>
      <c r="M20" s="56"/>
      <c r="N20" s="56"/>
    </row>
    <row r="21" spans="1:14">
      <c r="B21" s="56"/>
      <c r="C21" s="56"/>
      <c r="D21" s="56"/>
      <c r="E21" s="56"/>
      <c r="F21" s="78"/>
      <c r="G21" s="56"/>
      <c r="H21" s="56"/>
      <c r="I21" s="56"/>
      <c r="J21" s="56"/>
      <c r="K21" s="56"/>
      <c r="L21" s="56"/>
      <c r="M21" s="56"/>
      <c r="N21" s="56"/>
    </row>
    <row r="22" spans="1:14" ht="15" thickBot="1">
      <c r="A22" s="71" t="s">
        <v>21</v>
      </c>
      <c r="B22" s="72"/>
      <c r="C22" s="56"/>
      <c r="D22" s="56"/>
      <c r="E22" s="56"/>
      <c r="F22" s="78"/>
      <c r="G22" s="56"/>
      <c r="H22" s="56"/>
      <c r="I22" s="56"/>
      <c r="J22" s="56"/>
      <c r="K22" s="56"/>
      <c r="L22" s="56"/>
      <c r="M22" s="56"/>
      <c r="N22" s="56"/>
    </row>
    <row r="23" spans="1:14" ht="15" thickTop="1">
      <c r="A23" s="77" t="s">
        <v>22</v>
      </c>
      <c r="B23" s="81">
        <f>EXP('Model Coefficients_Crustal'!B17+'Model Coefficients_Crustal'!B18*LN('Seismic Displacement_Crustal'!B8)+'Model Coefficients_Crustal'!B19*LN('Seismic Displacement_Crustal'!B8)^2+'Model Coefficients_Crustal'!B20*LN('Seismic Displacement_Crustal'!B8)*LN('Seismic Displacement_Crustal'!B12)+'Model Coefficients_Crustal'!B21*LN('Seismic Displacement_Crustal'!B12)+'Model Coefficients_Crustal'!B22*(LN('Seismic Displacement_Crustal'!B12))^2+'Model Coefficients_Crustal'!B23*'Seismic Displacement_Crustal'!B9+'Model Coefficients_Crustal'!B24*'Seismic Displacement_Crustal'!B11+'Model Coefficients_Crustal'!B25*'Seismic Displacement_Crustal'!B9^2+'Model Coefficients_Crustal'!B26*LN('Seismic Displacement_Crustal'!B14))</f>
        <v>29.923627652614904</v>
      </c>
      <c r="C23" s="56" t="s">
        <v>20</v>
      </c>
      <c r="D23" s="56"/>
      <c r="E23" s="56" t="s">
        <v>128</v>
      </c>
      <c r="F23" s="56"/>
      <c r="G23" s="56"/>
      <c r="H23" s="56"/>
      <c r="I23" s="56"/>
      <c r="J23" s="56"/>
      <c r="K23" s="56"/>
      <c r="L23" s="56"/>
      <c r="M23" s="56"/>
      <c r="N23" s="56"/>
    </row>
    <row r="24" spans="1:14">
      <c r="A24" s="79" t="s">
        <v>23</v>
      </c>
      <c r="B24" s="82">
        <f>+'Model Coefficients_Crustal'!B27</f>
        <v>0.73599999999999999</v>
      </c>
      <c r="C24" s="56"/>
      <c r="D24" s="56"/>
      <c r="E24" s="56"/>
      <c r="F24" s="56"/>
      <c r="G24" s="56"/>
      <c r="H24" s="56"/>
      <c r="I24" s="56"/>
      <c r="J24" s="56"/>
      <c r="K24" s="56"/>
      <c r="L24" s="56"/>
      <c r="M24" s="56"/>
      <c r="N24" s="56"/>
    </row>
    <row r="25" spans="1:14">
      <c r="A25" s="62"/>
      <c r="B25" s="56"/>
      <c r="C25" s="56"/>
      <c r="D25" s="56"/>
      <c r="E25" s="56"/>
      <c r="F25" s="56"/>
      <c r="G25" s="56"/>
      <c r="H25" s="56"/>
      <c r="I25" s="56"/>
      <c r="J25" s="56"/>
      <c r="K25" s="56"/>
      <c r="L25" s="56"/>
      <c r="M25" s="56"/>
      <c r="N25" s="56"/>
    </row>
    <row r="26" spans="1:14" ht="15" thickBot="1">
      <c r="A26" s="83" t="s">
        <v>24</v>
      </c>
      <c r="B26" s="84"/>
      <c r="C26" s="56"/>
      <c r="D26" s="56"/>
      <c r="E26" s="56"/>
      <c r="F26" s="56"/>
      <c r="G26" s="56"/>
      <c r="H26" s="56"/>
      <c r="I26" s="56"/>
      <c r="J26" s="56"/>
      <c r="K26" s="56"/>
      <c r="L26" s="56"/>
      <c r="M26" s="56"/>
      <c r="N26" s="56"/>
    </row>
    <row r="27" spans="1:14" ht="15" thickTop="1">
      <c r="A27" s="77" t="s">
        <v>25</v>
      </c>
      <c r="B27" s="96">
        <f>+IF(B7="Deterministic-Pseudoprobabilistic (EQ8&amp;9)",'Model Coefficients_Crustal'!A11,IF(B7="OrdinaryGM (EQ2&amp;3)",'Model Coefficients_Crustal'!H11,IF(B7="PulsesD100 (EQ4&amp;5)",'Model Coefficients_Crustal'!P11,IF(B7="PulsesD50 (EQ6&amp;7)",'Model Coefficients_Crustal'!V11,100))))</f>
        <v>2.5900698616210249E-4</v>
      </c>
      <c r="C27" s="62"/>
      <c r="D27" s="62"/>
      <c r="E27" s="77" t="s">
        <v>129</v>
      </c>
      <c r="F27" s="56"/>
      <c r="G27" s="56"/>
      <c r="H27" s="56"/>
      <c r="I27" s="56"/>
      <c r="J27" s="56"/>
      <c r="K27" s="56"/>
      <c r="L27" s="56"/>
      <c r="M27" s="56"/>
      <c r="N27" s="56"/>
    </row>
    <row r="28" spans="1:14">
      <c r="A28" s="77" t="s">
        <v>26</v>
      </c>
      <c r="B28" s="97">
        <f>IF(ISERROR(EXP(LN($B$23)+$B$24*NORMSINV(1-($B$17/100)/(1-$B$27)))),"&lt;0.5",EXP(LN($B$23)+$B$24*NORMSINV(1-($B$17/100)/(1-$B$27))))</f>
        <v>14.383314286348313</v>
      </c>
      <c r="C28" s="90" t="s">
        <v>20</v>
      </c>
      <c r="D28" s="56"/>
      <c r="E28" s="85" t="s">
        <v>130</v>
      </c>
      <c r="F28" s="56"/>
      <c r="G28" s="56"/>
      <c r="H28" s="56"/>
      <c r="I28" s="56"/>
      <c r="J28" s="56"/>
      <c r="K28" s="56"/>
      <c r="L28" s="56"/>
      <c r="M28" s="56"/>
      <c r="N28" s="56"/>
    </row>
    <row r="29" spans="1:14">
      <c r="A29" s="77" t="s">
        <v>27</v>
      </c>
      <c r="B29" s="97">
        <f>IF(ISERROR(EXP(LN($B$23)+$B$24*NORMSINV(1-($B$18/100)/(1-$B$27)))),"&lt;0.5",EXP(LN($B$23)+$B$24*NORMSINV(1-($B$18/100)/(1-$B$27))))</f>
        <v>29.916477355505464</v>
      </c>
      <c r="C29" s="90" t="s">
        <v>20</v>
      </c>
      <c r="D29" s="56"/>
      <c r="E29" s="56" t="s">
        <v>130</v>
      </c>
      <c r="F29" s="56"/>
      <c r="G29" s="56"/>
      <c r="H29" s="56"/>
      <c r="I29" s="56"/>
      <c r="J29" s="56"/>
      <c r="K29" s="56"/>
      <c r="L29" s="56"/>
      <c r="M29" s="56"/>
      <c r="N29" s="56"/>
    </row>
    <row r="30" spans="1:14">
      <c r="A30" s="77" t="s">
        <v>28</v>
      </c>
      <c r="B30" s="97">
        <f>IF(ISERROR(EXP(LN($B$23)+$B$24*NORMSINV(1-($B$19/100)/(1-$B$27)))),"&lt;0.5",EXP(LN($B$23)+$B$24*NORMSINV(1-($B$19/100)/(1-$B$27))))</f>
        <v>62.205536976852414</v>
      </c>
      <c r="C30" s="90" t="s">
        <v>20</v>
      </c>
      <c r="D30" s="56"/>
      <c r="E30" s="56" t="s">
        <v>130</v>
      </c>
      <c r="F30" s="56"/>
      <c r="G30" s="56"/>
      <c r="H30" s="56"/>
      <c r="I30" s="56"/>
      <c r="J30" s="56"/>
      <c r="K30" s="56"/>
      <c r="L30" s="56"/>
      <c r="M30" s="56"/>
      <c r="N30" s="56"/>
    </row>
    <row r="31" spans="1:14">
      <c r="A31" s="79" t="s">
        <v>29</v>
      </c>
      <c r="B31" s="98">
        <f>+(1-$B$27)*(1-NORMSDIST((LN($B$20)-LN($B$23))/$B$24))</f>
        <v>0.49848919922644974</v>
      </c>
      <c r="C31" s="56"/>
      <c r="D31" s="56"/>
      <c r="E31" s="77" t="s">
        <v>131</v>
      </c>
      <c r="F31" s="56"/>
      <c r="G31" s="56"/>
      <c r="H31" s="56"/>
      <c r="I31" s="56"/>
      <c r="J31" s="56"/>
      <c r="K31" s="56"/>
      <c r="L31" s="56"/>
      <c r="M31" s="56"/>
      <c r="N31" s="56"/>
    </row>
    <row r="32" spans="1:14">
      <c r="A32" s="56"/>
      <c r="B32" s="56"/>
      <c r="C32" s="56"/>
      <c r="D32" s="56"/>
      <c r="E32" s="56"/>
      <c r="F32" s="56"/>
      <c r="G32" s="56"/>
      <c r="H32" s="56"/>
      <c r="I32" s="56"/>
      <c r="J32" s="56"/>
      <c r="K32" s="56"/>
      <c r="L32" s="56"/>
      <c r="M32" s="56"/>
      <c r="N32" s="56"/>
    </row>
    <row r="33" spans="1:27">
      <c r="A33" s="55" t="s">
        <v>30</v>
      </c>
      <c r="B33" s="56"/>
      <c r="C33" s="56"/>
      <c r="D33" s="56"/>
      <c r="E33" s="56"/>
      <c r="F33" s="56"/>
      <c r="G33" s="56"/>
      <c r="H33" s="56"/>
      <c r="I33" s="56"/>
      <c r="J33" s="56"/>
      <c r="K33" s="56"/>
      <c r="L33" s="56"/>
      <c r="M33" s="56"/>
      <c r="N33" s="56"/>
    </row>
    <row r="34" spans="1:27">
      <c r="A34" s="86" t="s">
        <v>31</v>
      </c>
      <c r="H34" s="56"/>
      <c r="I34" s="56"/>
      <c r="J34" s="56"/>
      <c r="K34" s="56"/>
      <c r="L34" s="56"/>
      <c r="M34" s="56"/>
      <c r="N34" s="56"/>
    </row>
    <row r="35" spans="1:27">
      <c r="A35" s="86" t="s">
        <v>32</v>
      </c>
      <c r="H35" s="56"/>
      <c r="I35" s="56"/>
      <c r="J35" s="56"/>
      <c r="K35" s="56"/>
      <c r="L35" s="56"/>
      <c r="M35" s="56"/>
      <c r="N35" s="56"/>
    </row>
    <row r="36" spans="1:27">
      <c r="A36" s="86" t="s">
        <v>33</v>
      </c>
      <c r="H36" s="56"/>
      <c r="I36" s="56"/>
      <c r="J36" s="56"/>
      <c r="K36" s="56"/>
      <c r="L36" s="56"/>
      <c r="M36" s="56"/>
      <c r="N36" s="56"/>
    </row>
    <row r="37" spans="1:27">
      <c r="A37" s="86" t="s">
        <v>163</v>
      </c>
      <c r="H37" s="56"/>
      <c r="I37" s="56"/>
      <c r="J37" s="56"/>
      <c r="K37" s="56"/>
      <c r="L37" s="56"/>
      <c r="M37" s="56"/>
      <c r="N37" s="56"/>
    </row>
    <row r="38" spans="1:27">
      <c r="A38" s="86" t="s">
        <v>162</v>
      </c>
      <c r="H38" s="56"/>
      <c r="I38" s="56"/>
      <c r="J38" s="56"/>
      <c r="K38" s="56"/>
      <c r="L38" s="56"/>
      <c r="M38" s="56"/>
      <c r="N38" s="56"/>
    </row>
    <row r="39" spans="1:27">
      <c r="A39" s="140" t="s">
        <v>36</v>
      </c>
      <c r="H39" s="56"/>
      <c r="I39" s="56"/>
      <c r="J39" s="56"/>
      <c r="K39" s="56"/>
      <c r="L39" s="56"/>
      <c r="M39" s="56"/>
      <c r="N39" s="56"/>
    </row>
    <row r="40" spans="1:27">
      <c r="A40" s="86" t="s">
        <v>164</v>
      </c>
      <c r="H40" s="56"/>
      <c r="I40" s="56"/>
      <c r="J40" s="56"/>
      <c r="K40" s="56"/>
      <c r="L40" s="56"/>
      <c r="M40" s="56"/>
      <c r="N40" s="56"/>
    </row>
    <row r="41" spans="1:27">
      <c r="A41" s="86" t="s">
        <v>161</v>
      </c>
      <c r="H41" s="56"/>
      <c r="I41" s="56"/>
      <c r="J41" s="56"/>
      <c r="K41" s="56"/>
      <c r="L41" s="56"/>
      <c r="M41" s="56"/>
      <c r="N41" s="56"/>
    </row>
    <row r="42" spans="1:27">
      <c r="A42" s="86" t="s">
        <v>134</v>
      </c>
      <c r="H42" s="56"/>
      <c r="I42" s="56"/>
      <c r="J42" s="56"/>
      <c r="K42" s="56"/>
      <c r="L42" s="56"/>
      <c r="M42" s="56"/>
      <c r="N42" s="56"/>
    </row>
    <row r="43" spans="1:27">
      <c r="A43" s="86" t="s">
        <v>261</v>
      </c>
      <c r="H43" s="56"/>
      <c r="I43" s="56"/>
      <c r="J43" s="56"/>
      <c r="K43" s="56"/>
      <c r="L43" s="56"/>
      <c r="M43" s="56"/>
      <c r="N43" s="56"/>
    </row>
    <row r="44" spans="1:27">
      <c r="A44" s="140" t="s">
        <v>285</v>
      </c>
      <c r="H44" s="56"/>
      <c r="I44" s="56"/>
      <c r="J44" s="56"/>
      <c r="K44" s="56"/>
      <c r="L44" s="56"/>
      <c r="M44" s="56"/>
      <c r="N44" s="56"/>
    </row>
    <row r="45" spans="1:27">
      <c r="A45" s="140" t="s">
        <v>286</v>
      </c>
      <c r="H45" s="56"/>
      <c r="I45" s="56"/>
      <c r="J45" s="56"/>
      <c r="K45" s="56"/>
      <c r="L45" s="56"/>
      <c r="M45" s="56"/>
      <c r="N45" s="56"/>
      <c r="O45" s="56"/>
      <c r="P45" s="56"/>
      <c r="Q45" s="56"/>
      <c r="R45" s="56"/>
      <c r="S45" s="56"/>
      <c r="T45" s="56"/>
      <c r="U45" s="56"/>
      <c r="V45" s="56"/>
      <c r="W45" s="56"/>
      <c r="X45" s="56"/>
      <c r="Y45" s="56"/>
      <c r="Z45" s="56"/>
      <c r="AA45" s="56"/>
    </row>
    <row r="46" spans="1:27">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row>
    <row r="47" spans="1:27">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row>
    <row r="48" spans="1:27">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row>
    <row r="49" spans="1:27">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row>
    <row r="50" spans="1:27">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row>
    <row r="51" spans="1:27">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row>
    <row r="52" spans="1:27">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row>
    <row r="53" spans="1:27">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row>
    <row r="54" spans="1:27">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row>
    <row r="55" spans="1:27">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row>
    <row r="56" spans="1:27">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row>
    <row r="57" spans="1:27">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row>
    <row r="58" spans="1:27">
      <c r="A58" s="125" t="s">
        <v>262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row>
    <row r="59" spans="1:27">
      <c r="A59" s="56" t="s">
        <v>260</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row>
    <row r="60" spans="1:27">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row>
    <row r="61" spans="1:27">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row>
    <row r="62" spans="1:27">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row>
    <row r="63" spans="1:27">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row>
    <row r="64" spans="1:27">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row>
    <row r="65" spans="1:27">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row>
    <row r="66" spans="1:27">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row>
    <row r="67" spans="1:27">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row>
    <row r="68" spans="1:27">
      <c r="A68" s="77"/>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row>
    <row r="69" spans="1:27">
      <c r="A69" s="77"/>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c r="A70" s="77"/>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row>
    <row r="71" spans="1:27">
      <c r="A71" s="77"/>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27">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row>
    <row r="73" spans="1:27">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27">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27">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row>
    <row r="76" spans="1:27">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row>
    <row r="77" spans="1:27">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row>
    <row r="78" spans="1:27">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row>
    <row r="83" spans="1:27">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row>
    <row r="84" spans="1:27">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row>
    <row r="86" spans="1:27">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row>
    <row r="88" spans="1:27">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row>
    <row r="89" spans="1:27">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row>
    <row r="90" spans="1:27">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row>
    <row r="91" spans="1:27">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row>
    <row r="92" spans="1:27">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row>
    <row r="93" spans="1:27">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row>
    <row r="94" spans="1:27">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row>
    <row r="95" spans="1:27">
      <c r="A95" s="56" t="s">
        <v>263</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row>
    <row r="96" spans="1:27">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row>
    <row r="97" spans="1:27">
      <c r="A97" s="130" t="s">
        <v>251</v>
      </c>
      <c r="B97" s="130"/>
      <c r="C97" s="130"/>
      <c r="D97" s="130"/>
      <c r="E97" s="130"/>
      <c r="F97" s="130"/>
      <c r="G97" s="130"/>
      <c r="H97" s="56"/>
      <c r="I97" s="56"/>
      <c r="J97" s="56"/>
      <c r="K97" s="56"/>
      <c r="L97" s="56"/>
      <c r="M97" s="56"/>
      <c r="N97" s="56"/>
      <c r="O97" s="56"/>
      <c r="P97" s="56"/>
      <c r="Q97" s="56"/>
      <c r="R97" s="56"/>
      <c r="S97" s="56"/>
      <c r="T97" s="56"/>
      <c r="U97" s="56"/>
      <c r="V97" s="56"/>
      <c r="W97" s="56"/>
      <c r="X97" s="56"/>
      <c r="Y97" s="56"/>
      <c r="Z97" s="56"/>
      <c r="AA97" s="56"/>
    </row>
    <row r="98" spans="1:27">
      <c r="A98" s="130"/>
      <c r="B98" s="130"/>
      <c r="C98" s="130"/>
      <c r="D98" s="130"/>
      <c r="E98" s="130"/>
      <c r="F98" s="130"/>
      <c r="G98" s="130"/>
      <c r="H98" s="56"/>
      <c r="I98" s="56"/>
      <c r="J98" s="56"/>
      <c r="K98" s="56"/>
      <c r="L98" s="56"/>
      <c r="M98" s="56"/>
      <c r="N98" s="56"/>
      <c r="O98" s="56"/>
      <c r="P98" s="56"/>
      <c r="Q98" s="56"/>
      <c r="R98" s="56"/>
      <c r="S98" s="56"/>
      <c r="T98" s="56"/>
      <c r="U98" s="56"/>
      <c r="V98" s="56"/>
      <c r="W98" s="56"/>
      <c r="X98" s="56"/>
      <c r="Y98" s="56"/>
      <c r="Z98" s="56"/>
      <c r="AA98" s="56"/>
    </row>
    <row r="99" spans="1:27">
      <c r="A99" s="130"/>
      <c r="B99" s="130"/>
      <c r="C99" s="130"/>
      <c r="D99" s="130"/>
      <c r="E99" s="130"/>
      <c r="F99" s="130"/>
      <c r="G99" s="130"/>
      <c r="H99" s="56"/>
      <c r="I99" s="56"/>
      <c r="J99" s="56"/>
      <c r="K99" s="56"/>
      <c r="L99" s="56"/>
      <c r="M99" s="56"/>
      <c r="N99" s="56"/>
      <c r="O99" s="56"/>
      <c r="P99" s="56"/>
      <c r="Q99" s="56"/>
      <c r="R99" s="56"/>
      <c r="S99" s="56"/>
      <c r="T99" s="56"/>
      <c r="U99" s="56"/>
      <c r="V99" s="56"/>
      <c r="W99" s="56"/>
      <c r="X99" s="56"/>
      <c r="Y99" s="56"/>
      <c r="Z99" s="56"/>
      <c r="AA99" s="56"/>
    </row>
    <row r="100" spans="1:27">
      <c r="A100" s="130"/>
      <c r="B100" s="130"/>
      <c r="C100" s="130"/>
      <c r="D100" s="130"/>
      <c r="E100" s="130"/>
      <c r="F100" s="130"/>
      <c r="G100" s="130"/>
      <c r="H100" s="56"/>
      <c r="I100" s="56"/>
      <c r="J100" s="56"/>
      <c r="K100" s="56"/>
      <c r="L100" s="56"/>
      <c r="M100" s="56"/>
      <c r="N100" s="56"/>
      <c r="O100" s="56"/>
      <c r="P100" s="56"/>
      <c r="Q100" s="56"/>
      <c r="R100" s="56"/>
      <c r="S100" s="56"/>
      <c r="T100" s="56"/>
      <c r="U100" s="56"/>
      <c r="V100" s="56"/>
      <c r="W100" s="56"/>
      <c r="X100" s="56"/>
      <c r="Y100" s="56"/>
      <c r="Z100" s="56"/>
      <c r="AA100" s="56"/>
    </row>
    <row r="101" spans="1:27">
      <c r="A101" s="130"/>
      <c r="B101" s="130"/>
      <c r="C101" s="130"/>
      <c r="D101" s="130"/>
      <c r="E101" s="130"/>
      <c r="F101" s="130"/>
      <c r="G101" s="130"/>
      <c r="H101" s="56"/>
      <c r="I101" s="56"/>
      <c r="J101" s="56"/>
      <c r="K101" s="56"/>
      <c r="L101" s="56"/>
      <c r="M101" s="56"/>
      <c r="N101" s="56"/>
      <c r="O101" s="56"/>
      <c r="P101" s="56"/>
      <c r="Q101" s="56"/>
      <c r="R101" s="56"/>
      <c r="S101" s="56"/>
      <c r="T101" s="56"/>
      <c r="U101" s="56"/>
      <c r="V101" s="56"/>
      <c r="W101" s="56"/>
      <c r="X101" s="56"/>
      <c r="Y101" s="56"/>
      <c r="Z101" s="56"/>
      <c r="AA101" s="56"/>
    </row>
    <row r="102" spans="1:27">
      <c r="A102" s="130"/>
      <c r="B102" s="130"/>
      <c r="C102" s="130"/>
      <c r="D102" s="130"/>
      <c r="E102" s="130"/>
      <c r="F102" s="130"/>
      <c r="G102" s="130"/>
      <c r="H102" s="56"/>
      <c r="I102" s="56"/>
      <c r="J102" s="56"/>
      <c r="K102" s="56"/>
      <c r="L102" s="56"/>
      <c r="M102" s="56"/>
      <c r="N102" s="56"/>
      <c r="O102" s="56"/>
      <c r="P102" s="56"/>
      <c r="Q102" s="56"/>
      <c r="R102" s="56"/>
      <c r="S102" s="56"/>
      <c r="T102" s="56"/>
      <c r="U102" s="56"/>
      <c r="V102" s="56"/>
      <c r="W102" s="56"/>
      <c r="X102" s="56"/>
      <c r="Y102" s="56"/>
      <c r="Z102" s="56"/>
      <c r="AA102" s="56"/>
    </row>
    <row r="103" spans="1:27">
      <c r="A103" s="130"/>
      <c r="B103" s="130"/>
      <c r="C103" s="130"/>
      <c r="D103" s="130"/>
      <c r="E103" s="130"/>
      <c r="F103" s="130"/>
      <c r="G103" s="130"/>
      <c r="H103" s="56"/>
      <c r="I103" s="56"/>
      <c r="J103" s="56"/>
      <c r="K103" s="56"/>
      <c r="L103" s="56"/>
      <c r="M103" s="56"/>
      <c r="N103" s="56"/>
      <c r="O103" s="56"/>
      <c r="P103" s="56"/>
      <c r="Q103" s="56"/>
      <c r="R103" s="56"/>
      <c r="S103" s="56"/>
      <c r="T103" s="56"/>
      <c r="U103" s="56"/>
      <c r="V103" s="56"/>
      <c r="W103" s="56"/>
      <c r="X103" s="56"/>
      <c r="Y103" s="56"/>
      <c r="Z103" s="56"/>
      <c r="AA103" s="56"/>
    </row>
    <row r="104" spans="1:27">
      <c r="A104" s="130"/>
      <c r="B104" s="130"/>
      <c r="C104" s="130"/>
      <c r="D104" s="130"/>
      <c r="E104" s="130"/>
      <c r="F104" s="130"/>
      <c r="G104" s="130"/>
      <c r="H104" s="56"/>
      <c r="I104" s="56"/>
      <c r="J104" s="56"/>
      <c r="K104" s="56"/>
      <c r="L104" s="56"/>
      <c r="M104" s="56"/>
      <c r="N104" s="56"/>
      <c r="O104" s="56"/>
      <c r="P104" s="56"/>
      <c r="Q104" s="56"/>
      <c r="R104" s="56"/>
      <c r="S104" s="56"/>
      <c r="T104" s="56"/>
      <c r="U104" s="56"/>
      <c r="V104" s="56"/>
      <c r="W104" s="56"/>
      <c r="X104" s="56"/>
      <c r="Y104" s="56"/>
      <c r="Z104" s="56"/>
      <c r="AA104" s="56"/>
    </row>
    <row r="105" spans="1:27">
      <c r="A105" s="130"/>
      <c r="B105" s="130"/>
      <c r="C105" s="130"/>
      <c r="D105" s="130"/>
      <c r="E105" s="130"/>
      <c r="F105" s="130"/>
      <c r="G105" s="130"/>
      <c r="H105" s="56"/>
      <c r="I105" s="56"/>
      <c r="J105" s="56"/>
      <c r="K105" s="56"/>
      <c r="L105" s="56"/>
      <c r="M105" s="56"/>
      <c r="N105" s="56"/>
      <c r="O105" s="56"/>
      <c r="P105" s="56"/>
      <c r="Q105" s="56"/>
      <c r="R105" s="56"/>
      <c r="S105" s="56"/>
      <c r="T105" s="56"/>
      <c r="U105" s="56"/>
      <c r="V105" s="56"/>
      <c r="W105" s="56"/>
      <c r="X105" s="56"/>
      <c r="Y105" s="56"/>
      <c r="Z105" s="56"/>
      <c r="AA105" s="56"/>
    </row>
    <row r="106" spans="1:27">
      <c r="A106" s="130"/>
      <c r="B106" s="130"/>
      <c r="C106" s="130"/>
      <c r="D106" s="130"/>
      <c r="E106" s="130"/>
      <c r="F106" s="130"/>
      <c r="G106" s="130"/>
      <c r="H106" s="56"/>
      <c r="I106" s="56"/>
      <c r="J106" s="56"/>
      <c r="K106" s="56"/>
      <c r="L106" s="56"/>
      <c r="M106" s="56"/>
      <c r="N106" s="56"/>
      <c r="O106" s="56"/>
      <c r="P106" s="56"/>
      <c r="Q106" s="56"/>
      <c r="R106" s="56"/>
      <c r="S106" s="56"/>
      <c r="T106" s="56"/>
      <c r="U106" s="56"/>
      <c r="V106" s="56"/>
      <c r="W106" s="56"/>
      <c r="X106" s="56"/>
      <c r="Y106" s="56"/>
      <c r="Z106" s="56"/>
      <c r="AA106" s="56"/>
    </row>
    <row r="107" spans="1:27">
      <c r="A107" s="130"/>
      <c r="B107" s="130"/>
      <c r="C107" s="130"/>
      <c r="D107" s="130"/>
      <c r="E107" s="130"/>
      <c r="F107" s="130"/>
      <c r="G107" s="130"/>
      <c r="H107" s="56"/>
      <c r="I107" s="56"/>
      <c r="J107" s="56"/>
      <c r="K107" s="56"/>
      <c r="L107" s="56"/>
      <c r="M107" s="56"/>
      <c r="N107" s="56"/>
      <c r="O107" s="56"/>
      <c r="P107" s="56"/>
      <c r="Q107" s="56"/>
      <c r="R107" s="56"/>
      <c r="S107" s="56"/>
      <c r="T107" s="56"/>
      <c r="U107" s="56"/>
      <c r="V107" s="56"/>
      <c r="W107" s="56"/>
      <c r="X107" s="56"/>
      <c r="Y107" s="56"/>
      <c r="Z107" s="56"/>
      <c r="AA107" s="56"/>
    </row>
    <row r="108" spans="1:27" ht="18" customHeight="1">
      <c r="A108" s="130"/>
      <c r="B108" s="130"/>
      <c r="C108" s="130"/>
      <c r="D108" s="130"/>
      <c r="E108" s="130"/>
      <c r="F108" s="130"/>
      <c r="G108" s="130"/>
    </row>
  </sheetData>
  <sheetProtection algorithmName="SHA-512" hashValue="dG41Wx5e/z+4BfKctw09i3C4WVid4v8O3370MQUhaPTSThHCe0rDzzo3UP7nh5YaiKuVpw/+UH4CtfCQwF7l5A==" saltValue="i29nYUWt14sJcGWBKyxW6w==" spinCount="100000" sheet="1" selectLockedCells="1"/>
  <mergeCells count="1">
    <mergeCell ref="A97:G108"/>
  </mergeCells>
  <phoneticPr fontId="30" type="noConversion"/>
  <dataValidations count="2">
    <dataValidation type="list" allowBlank="1" showInputMessage="1" showErrorMessage="1" promptTitle="Enter Case" prompt="Enter Case" sqref="K4" xr:uid="{00000000-0002-0000-0000-000000000000}">
      <formula1>$I$1:$I$4</formula1>
    </dataValidation>
    <dataValidation type="list" allowBlank="1" showInputMessage="1" showErrorMessage="1" promptTitle="Select Option" prompt="From the dropdown menu" sqref="B7" xr:uid="{00000000-0002-0000-0000-000001000000}">
      <formula1>$I$1:$I$4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249977111117893"/>
  </sheetPr>
  <dimension ref="A1:V29"/>
  <sheetViews>
    <sheetView zoomScale="90" zoomScaleNormal="90" workbookViewId="0">
      <selection activeCell="B8" sqref="B8"/>
    </sheetView>
  </sheetViews>
  <sheetFormatPr defaultColWidth="11.453125" defaultRowHeight="14.5"/>
  <cols>
    <col min="1" max="1" width="12.08984375" customWidth="1"/>
    <col min="2" max="3" width="9.08984375" customWidth="1"/>
    <col min="4" max="4" width="10.36328125" customWidth="1"/>
    <col min="5" max="7" width="9.08984375" customWidth="1"/>
    <col min="8" max="8" width="6.81640625" customWidth="1"/>
    <col min="9" max="9" width="6" customWidth="1"/>
    <col min="10" max="11" width="4.26953125" customWidth="1"/>
    <col min="12" max="12" width="6.7265625" customWidth="1"/>
    <col min="13" max="256" width="9.08984375" customWidth="1"/>
    <col min="257" max="257" width="12.08984375" customWidth="1"/>
    <col min="258" max="263" width="9.08984375" customWidth="1"/>
    <col min="264" max="264" width="6.81640625" customWidth="1"/>
    <col min="265" max="265" width="4" customWidth="1"/>
    <col min="266" max="266" width="5.81640625" customWidth="1"/>
    <col min="267" max="512" width="9.08984375" customWidth="1"/>
    <col min="513" max="513" width="12.08984375" customWidth="1"/>
    <col min="514" max="519" width="9.08984375" customWidth="1"/>
    <col min="520" max="520" width="6.81640625" customWidth="1"/>
    <col min="521" max="521" width="4" customWidth="1"/>
    <col min="522" max="522" width="5.81640625" customWidth="1"/>
    <col min="523" max="768" width="9.08984375" customWidth="1"/>
    <col min="769" max="769" width="12.08984375" customWidth="1"/>
    <col min="770" max="775" width="9.08984375" customWidth="1"/>
    <col min="776" max="776" width="6.81640625" customWidth="1"/>
    <col min="777" max="777" width="4" customWidth="1"/>
    <col min="778" max="778" width="5.81640625" customWidth="1"/>
    <col min="779" max="1024" width="9.08984375" customWidth="1"/>
    <col min="1025" max="1025" width="12.08984375" customWidth="1"/>
    <col min="1026" max="1031" width="9.08984375" customWidth="1"/>
    <col min="1032" max="1032" width="6.81640625" customWidth="1"/>
    <col min="1033" max="1033" width="4" customWidth="1"/>
    <col min="1034" max="1034" width="5.81640625" customWidth="1"/>
    <col min="1035" max="1280" width="9.08984375" customWidth="1"/>
    <col min="1281" max="1281" width="12.08984375" customWidth="1"/>
    <col min="1282" max="1287" width="9.08984375" customWidth="1"/>
    <col min="1288" max="1288" width="6.81640625" customWidth="1"/>
    <col min="1289" max="1289" width="4" customWidth="1"/>
    <col min="1290" max="1290" width="5.81640625" customWidth="1"/>
    <col min="1291" max="1536" width="9.08984375" customWidth="1"/>
    <col min="1537" max="1537" width="12.08984375" customWidth="1"/>
    <col min="1538" max="1543" width="9.08984375" customWidth="1"/>
    <col min="1544" max="1544" width="6.81640625" customWidth="1"/>
    <col min="1545" max="1545" width="4" customWidth="1"/>
    <col min="1546" max="1546" width="5.81640625" customWidth="1"/>
    <col min="1547" max="1792" width="9.08984375" customWidth="1"/>
    <col min="1793" max="1793" width="12.08984375" customWidth="1"/>
    <col min="1794" max="1799" width="9.08984375" customWidth="1"/>
    <col min="1800" max="1800" width="6.81640625" customWidth="1"/>
    <col min="1801" max="1801" width="4" customWidth="1"/>
    <col min="1802" max="1802" width="5.81640625" customWidth="1"/>
    <col min="1803" max="2048" width="9.08984375" customWidth="1"/>
    <col min="2049" max="2049" width="12.08984375" customWidth="1"/>
    <col min="2050" max="2055" width="9.08984375" customWidth="1"/>
    <col min="2056" max="2056" width="6.81640625" customWidth="1"/>
    <col min="2057" max="2057" width="4" customWidth="1"/>
    <col min="2058" max="2058" width="5.81640625" customWidth="1"/>
    <col min="2059" max="2304" width="9.08984375" customWidth="1"/>
    <col min="2305" max="2305" width="12.08984375" customWidth="1"/>
    <col min="2306" max="2311" width="9.08984375" customWidth="1"/>
    <col min="2312" max="2312" width="6.81640625" customWidth="1"/>
    <col min="2313" max="2313" width="4" customWidth="1"/>
    <col min="2314" max="2314" width="5.81640625" customWidth="1"/>
    <col min="2315" max="2560" width="9.08984375" customWidth="1"/>
    <col min="2561" max="2561" width="12.08984375" customWidth="1"/>
    <col min="2562" max="2567" width="9.08984375" customWidth="1"/>
    <col min="2568" max="2568" width="6.81640625" customWidth="1"/>
    <col min="2569" max="2569" width="4" customWidth="1"/>
    <col min="2570" max="2570" width="5.81640625" customWidth="1"/>
    <col min="2571" max="2816" width="9.08984375" customWidth="1"/>
    <col min="2817" max="2817" width="12.08984375" customWidth="1"/>
    <col min="2818" max="2823" width="9.08984375" customWidth="1"/>
    <col min="2824" max="2824" width="6.81640625" customWidth="1"/>
    <col min="2825" max="2825" width="4" customWidth="1"/>
    <col min="2826" max="2826" width="5.81640625" customWidth="1"/>
    <col min="2827" max="3072" width="9.08984375" customWidth="1"/>
    <col min="3073" max="3073" width="12.08984375" customWidth="1"/>
    <col min="3074" max="3079" width="9.08984375" customWidth="1"/>
    <col min="3080" max="3080" width="6.81640625" customWidth="1"/>
    <col min="3081" max="3081" width="4" customWidth="1"/>
    <col min="3082" max="3082" width="5.81640625" customWidth="1"/>
    <col min="3083" max="3328" width="9.08984375" customWidth="1"/>
    <col min="3329" max="3329" width="12.08984375" customWidth="1"/>
    <col min="3330" max="3335" width="9.08984375" customWidth="1"/>
    <col min="3336" max="3336" width="6.81640625" customWidth="1"/>
    <col min="3337" max="3337" width="4" customWidth="1"/>
    <col min="3338" max="3338" width="5.81640625" customWidth="1"/>
    <col min="3339" max="3584" width="9.08984375" customWidth="1"/>
    <col min="3585" max="3585" width="12.08984375" customWidth="1"/>
    <col min="3586" max="3591" width="9.08984375" customWidth="1"/>
    <col min="3592" max="3592" width="6.81640625" customWidth="1"/>
    <col min="3593" max="3593" width="4" customWidth="1"/>
    <col min="3594" max="3594" width="5.81640625" customWidth="1"/>
    <col min="3595" max="3840" width="9.08984375" customWidth="1"/>
    <col min="3841" max="3841" width="12.08984375" customWidth="1"/>
    <col min="3842" max="3847" width="9.08984375" customWidth="1"/>
    <col min="3848" max="3848" width="6.81640625" customWidth="1"/>
    <col min="3849" max="3849" width="4" customWidth="1"/>
    <col min="3850" max="3850" width="5.81640625" customWidth="1"/>
    <col min="3851" max="4096" width="9.08984375" customWidth="1"/>
    <col min="4097" max="4097" width="12.08984375" customWidth="1"/>
    <col min="4098" max="4103" width="9.08984375" customWidth="1"/>
    <col min="4104" max="4104" width="6.81640625" customWidth="1"/>
    <col min="4105" max="4105" width="4" customWidth="1"/>
    <col min="4106" max="4106" width="5.81640625" customWidth="1"/>
    <col min="4107" max="4352" width="9.08984375" customWidth="1"/>
    <col min="4353" max="4353" width="12.08984375" customWidth="1"/>
    <col min="4354" max="4359" width="9.08984375" customWidth="1"/>
    <col min="4360" max="4360" width="6.81640625" customWidth="1"/>
    <col min="4361" max="4361" width="4" customWidth="1"/>
    <col min="4362" max="4362" width="5.81640625" customWidth="1"/>
    <col min="4363" max="4608" width="9.08984375" customWidth="1"/>
    <col min="4609" max="4609" width="12.08984375" customWidth="1"/>
    <col min="4610" max="4615" width="9.08984375" customWidth="1"/>
    <col min="4616" max="4616" width="6.81640625" customWidth="1"/>
    <col min="4617" max="4617" width="4" customWidth="1"/>
    <col min="4618" max="4618" width="5.81640625" customWidth="1"/>
    <col min="4619" max="4864" width="9.08984375" customWidth="1"/>
    <col min="4865" max="4865" width="12.08984375" customWidth="1"/>
    <col min="4866" max="4871" width="9.08984375" customWidth="1"/>
    <col min="4872" max="4872" width="6.81640625" customWidth="1"/>
    <col min="4873" max="4873" width="4" customWidth="1"/>
    <col min="4874" max="4874" width="5.81640625" customWidth="1"/>
    <col min="4875" max="5120" width="9.08984375" customWidth="1"/>
    <col min="5121" max="5121" width="12.08984375" customWidth="1"/>
    <col min="5122" max="5127" width="9.08984375" customWidth="1"/>
    <col min="5128" max="5128" width="6.81640625" customWidth="1"/>
    <col min="5129" max="5129" width="4" customWidth="1"/>
    <col min="5130" max="5130" width="5.81640625" customWidth="1"/>
    <col min="5131" max="5376" width="9.08984375" customWidth="1"/>
    <col min="5377" max="5377" width="12.08984375" customWidth="1"/>
    <col min="5378" max="5383" width="9.08984375" customWidth="1"/>
    <col min="5384" max="5384" width="6.81640625" customWidth="1"/>
    <col min="5385" max="5385" width="4" customWidth="1"/>
    <col min="5386" max="5386" width="5.81640625" customWidth="1"/>
    <col min="5387" max="5632" width="9.08984375" customWidth="1"/>
    <col min="5633" max="5633" width="12.08984375" customWidth="1"/>
    <col min="5634" max="5639" width="9.08984375" customWidth="1"/>
    <col min="5640" max="5640" width="6.81640625" customWidth="1"/>
    <col min="5641" max="5641" width="4" customWidth="1"/>
    <col min="5642" max="5642" width="5.81640625" customWidth="1"/>
    <col min="5643" max="5888" width="9.08984375" customWidth="1"/>
    <col min="5889" max="5889" width="12.08984375" customWidth="1"/>
    <col min="5890" max="5895" width="9.08984375" customWidth="1"/>
    <col min="5896" max="5896" width="6.81640625" customWidth="1"/>
    <col min="5897" max="5897" width="4" customWidth="1"/>
    <col min="5898" max="5898" width="5.81640625" customWidth="1"/>
    <col min="5899" max="6144" width="9.08984375" customWidth="1"/>
    <col min="6145" max="6145" width="12.08984375" customWidth="1"/>
    <col min="6146" max="6151" width="9.08984375" customWidth="1"/>
    <col min="6152" max="6152" width="6.81640625" customWidth="1"/>
    <col min="6153" max="6153" width="4" customWidth="1"/>
    <col min="6154" max="6154" width="5.81640625" customWidth="1"/>
    <col min="6155" max="6400" width="9.08984375" customWidth="1"/>
    <col min="6401" max="6401" width="12.08984375" customWidth="1"/>
    <col min="6402" max="6407" width="9.08984375" customWidth="1"/>
    <col min="6408" max="6408" width="6.81640625" customWidth="1"/>
    <col min="6409" max="6409" width="4" customWidth="1"/>
    <col min="6410" max="6410" width="5.81640625" customWidth="1"/>
    <col min="6411" max="6656" width="9.08984375" customWidth="1"/>
    <col min="6657" max="6657" width="12.08984375" customWidth="1"/>
    <col min="6658" max="6663" width="9.08984375" customWidth="1"/>
    <col min="6664" max="6664" width="6.81640625" customWidth="1"/>
    <col min="6665" max="6665" width="4" customWidth="1"/>
    <col min="6666" max="6666" width="5.81640625" customWidth="1"/>
    <col min="6667" max="6912" width="9.08984375" customWidth="1"/>
    <col min="6913" max="6913" width="12.08984375" customWidth="1"/>
    <col min="6914" max="6919" width="9.08984375" customWidth="1"/>
    <col min="6920" max="6920" width="6.81640625" customWidth="1"/>
    <col min="6921" max="6921" width="4" customWidth="1"/>
    <col min="6922" max="6922" width="5.81640625" customWidth="1"/>
    <col min="6923" max="7168" width="9.08984375" customWidth="1"/>
    <col min="7169" max="7169" width="12.08984375" customWidth="1"/>
    <col min="7170" max="7175" width="9.08984375" customWidth="1"/>
    <col min="7176" max="7176" width="6.81640625" customWidth="1"/>
    <col min="7177" max="7177" width="4" customWidth="1"/>
    <col min="7178" max="7178" width="5.81640625" customWidth="1"/>
    <col min="7179" max="7424" width="9.08984375" customWidth="1"/>
    <col min="7425" max="7425" width="12.08984375" customWidth="1"/>
    <col min="7426" max="7431" width="9.08984375" customWidth="1"/>
    <col min="7432" max="7432" width="6.81640625" customWidth="1"/>
    <col min="7433" max="7433" width="4" customWidth="1"/>
    <col min="7434" max="7434" width="5.81640625" customWidth="1"/>
    <col min="7435" max="7680" width="9.08984375" customWidth="1"/>
    <col min="7681" max="7681" width="12.08984375" customWidth="1"/>
    <col min="7682" max="7687" width="9.08984375" customWidth="1"/>
    <col min="7688" max="7688" width="6.81640625" customWidth="1"/>
    <col min="7689" max="7689" width="4" customWidth="1"/>
    <col min="7690" max="7690" width="5.81640625" customWidth="1"/>
    <col min="7691" max="7936" width="9.08984375" customWidth="1"/>
    <col min="7937" max="7937" width="12.08984375" customWidth="1"/>
    <col min="7938" max="7943" width="9.08984375" customWidth="1"/>
    <col min="7944" max="7944" width="6.81640625" customWidth="1"/>
    <col min="7945" max="7945" width="4" customWidth="1"/>
    <col min="7946" max="7946" width="5.81640625" customWidth="1"/>
    <col min="7947" max="8192" width="9.08984375" customWidth="1"/>
    <col min="8193" max="8193" width="12.08984375" customWidth="1"/>
    <col min="8194" max="8199" width="9.08984375" customWidth="1"/>
    <col min="8200" max="8200" width="6.81640625" customWidth="1"/>
    <col min="8201" max="8201" width="4" customWidth="1"/>
    <col min="8202" max="8202" width="5.81640625" customWidth="1"/>
    <col min="8203" max="8448" width="9.08984375" customWidth="1"/>
    <col min="8449" max="8449" width="12.08984375" customWidth="1"/>
    <col min="8450" max="8455" width="9.08984375" customWidth="1"/>
    <col min="8456" max="8456" width="6.81640625" customWidth="1"/>
    <col min="8457" max="8457" width="4" customWidth="1"/>
    <col min="8458" max="8458" width="5.81640625" customWidth="1"/>
    <col min="8459" max="8704" width="9.08984375" customWidth="1"/>
    <col min="8705" max="8705" width="12.08984375" customWidth="1"/>
    <col min="8706" max="8711" width="9.08984375" customWidth="1"/>
    <col min="8712" max="8712" width="6.81640625" customWidth="1"/>
    <col min="8713" max="8713" width="4" customWidth="1"/>
    <col min="8714" max="8714" width="5.81640625" customWidth="1"/>
    <col min="8715" max="8960" width="9.08984375" customWidth="1"/>
    <col min="8961" max="8961" width="12.08984375" customWidth="1"/>
    <col min="8962" max="8967" width="9.08984375" customWidth="1"/>
    <col min="8968" max="8968" width="6.81640625" customWidth="1"/>
    <col min="8969" max="8969" width="4" customWidth="1"/>
    <col min="8970" max="8970" width="5.81640625" customWidth="1"/>
    <col min="8971" max="9216" width="9.08984375" customWidth="1"/>
    <col min="9217" max="9217" width="12.08984375" customWidth="1"/>
    <col min="9218" max="9223" width="9.08984375" customWidth="1"/>
    <col min="9224" max="9224" width="6.81640625" customWidth="1"/>
    <col min="9225" max="9225" width="4" customWidth="1"/>
    <col min="9226" max="9226" width="5.81640625" customWidth="1"/>
    <col min="9227" max="9472" width="9.08984375" customWidth="1"/>
    <col min="9473" max="9473" width="12.08984375" customWidth="1"/>
    <col min="9474" max="9479" width="9.08984375" customWidth="1"/>
    <col min="9480" max="9480" width="6.81640625" customWidth="1"/>
    <col min="9481" max="9481" width="4" customWidth="1"/>
    <col min="9482" max="9482" width="5.81640625" customWidth="1"/>
    <col min="9483" max="9728" width="9.08984375" customWidth="1"/>
    <col min="9729" max="9729" width="12.08984375" customWidth="1"/>
    <col min="9730" max="9735" width="9.08984375" customWidth="1"/>
    <col min="9736" max="9736" width="6.81640625" customWidth="1"/>
    <col min="9737" max="9737" width="4" customWidth="1"/>
    <col min="9738" max="9738" width="5.81640625" customWidth="1"/>
    <col min="9739" max="9984" width="9.08984375" customWidth="1"/>
    <col min="9985" max="9985" width="12.08984375" customWidth="1"/>
    <col min="9986" max="9991" width="9.08984375" customWidth="1"/>
    <col min="9992" max="9992" width="6.81640625" customWidth="1"/>
    <col min="9993" max="9993" width="4" customWidth="1"/>
    <col min="9994" max="9994" width="5.81640625" customWidth="1"/>
    <col min="9995" max="10240" width="9.08984375" customWidth="1"/>
    <col min="10241" max="10241" width="12.08984375" customWidth="1"/>
    <col min="10242" max="10247" width="9.08984375" customWidth="1"/>
    <col min="10248" max="10248" width="6.81640625" customWidth="1"/>
    <col min="10249" max="10249" width="4" customWidth="1"/>
    <col min="10250" max="10250" width="5.81640625" customWidth="1"/>
    <col min="10251" max="10496" width="9.08984375" customWidth="1"/>
    <col min="10497" max="10497" width="12.08984375" customWidth="1"/>
    <col min="10498" max="10503" width="9.08984375" customWidth="1"/>
    <col min="10504" max="10504" width="6.81640625" customWidth="1"/>
    <col min="10505" max="10505" width="4" customWidth="1"/>
    <col min="10506" max="10506" width="5.81640625" customWidth="1"/>
    <col min="10507" max="10752" width="9.08984375" customWidth="1"/>
    <col min="10753" max="10753" width="12.08984375" customWidth="1"/>
    <col min="10754" max="10759" width="9.08984375" customWidth="1"/>
    <col min="10760" max="10760" width="6.81640625" customWidth="1"/>
    <col min="10761" max="10761" width="4" customWidth="1"/>
    <col min="10762" max="10762" width="5.81640625" customWidth="1"/>
    <col min="10763" max="11008" width="9.08984375" customWidth="1"/>
    <col min="11009" max="11009" width="12.08984375" customWidth="1"/>
    <col min="11010" max="11015" width="9.08984375" customWidth="1"/>
    <col min="11016" max="11016" width="6.81640625" customWidth="1"/>
    <col min="11017" max="11017" width="4" customWidth="1"/>
    <col min="11018" max="11018" width="5.81640625" customWidth="1"/>
    <col min="11019" max="11264" width="9.08984375" customWidth="1"/>
    <col min="11265" max="11265" width="12.08984375" customWidth="1"/>
    <col min="11266" max="11271" width="9.08984375" customWidth="1"/>
    <col min="11272" max="11272" width="6.81640625" customWidth="1"/>
    <col min="11273" max="11273" width="4" customWidth="1"/>
    <col min="11274" max="11274" width="5.81640625" customWidth="1"/>
    <col min="11275" max="11520" width="9.08984375" customWidth="1"/>
    <col min="11521" max="11521" width="12.08984375" customWidth="1"/>
    <col min="11522" max="11527" width="9.08984375" customWidth="1"/>
    <col min="11528" max="11528" width="6.81640625" customWidth="1"/>
    <col min="11529" max="11529" width="4" customWidth="1"/>
    <col min="11530" max="11530" width="5.81640625" customWidth="1"/>
    <col min="11531" max="11776" width="9.08984375" customWidth="1"/>
    <col min="11777" max="11777" width="12.08984375" customWidth="1"/>
    <col min="11778" max="11783" width="9.08984375" customWidth="1"/>
    <col min="11784" max="11784" width="6.81640625" customWidth="1"/>
    <col min="11785" max="11785" width="4" customWidth="1"/>
    <col min="11786" max="11786" width="5.81640625" customWidth="1"/>
    <col min="11787" max="12032" width="9.08984375" customWidth="1"/>
    <col min="12033" max="12033" width="12.08984375" customWidth="1"/>
    <col min="12034" max="12039" width="9.08984375" customWidth="1"/>
    <col min="12040" max="12040" width="6.81640625" customWidth="1"/>
    <col min="12041" max="12041" width="4" customWidth="1"/>
    <col min="12042" max="12042" width="5.81640625" customWidth="1"/>
    <col min="12043" max="12288" width="9.08984375" customWidth="1"/>
    <col min="12289" max="12289" width="12.08984375" customWidth="1"/>
    <col min="12290" max="12295" width="9.08984375" customWidth="1"/>
    <col min="12296" max="12296" width="6.81640625" customWidth="1"/>
    <col min="12297" max="12297" width="4" customWidth="1"/>
    <col min="12298" max="12298" width="5.81640625" customWidth="1"/>
    <col min="12299" max="12544" width="9.08984375" customWidth="1"/>
    <col min="12545" max="12545" width="12.08984375" customWidth="1"/>
    <col min="12546" max="12551" width="9.08984375" customWidth="1"/>
    <col min="12552" max="12552" width="6.81640625" customWidth="1"/>
    <col min="12553" max="12553" width="4" customWidth="1"/>
    <col min="12554" max="12554" width="5.81640625" customWidth="1"/>
    <col min="12555" max="12800" width="9.08984375" customWidth="1"/>
    <col min="12801" max="12801" width="12.08984375" customWidth="1"/>
    <col min="12802" max="12807" width="9.08984375" customWidth="1"/>
    <col min="12808" max="12808" width="6.81640625" customWidth="1"/>
    <col min="12809" max="12809" width="4" customWidth="1"/>
    <col min="12810" max="12810" width="5.81640625" customWidth="1"/>
    <col min="12811" max="13056" width="9.08984375" customWidth="1"/>
    <col min="13057" max="13057" width="12.08984375" customWidth="1"/>
    <col min="13058" max="13063" width="9.08984375" customWidth="1"/>
    <col min="13064" max="13064" width="6.81640625" customWidth="1"/>
    <col min="13065" max="13065" width="4" customWidth="1"/>
    <col min="13066" max="13066" width="5.81640625" customWidth="1"/>
    <col min="13067" max="13312" width="9.08984375" customWidth="1"/>
    <col min="13313" max="13313" width="12.08984375" customWidth="1"/>
    <col min="13314" max="13319" width="9.08984375" customWidth="1"/>
    <col min="13320" max="13320" width="6.81640625" customWidth="1"/>
    <col min="13321" max="13321" width="4" customWidth="1"/>
    <col min="13322" max="13322" width="5.81640625" customWidth="1"/>
    <col min="13323" max="13568" width="9.08984375" customWidth="1"/>
    <col min="13569" max="13569" width="12.08984375" customWidth="1"/>
    <col min="13570" max="13575" width="9.08984375" customWidth="1"/>
    <col min="13576" max="13576" width="6.81640625" customWidth="1"/>
    <col min="13577" max="13577" width="4" customWidth="1"/>
    <col min="13578" max="13578" width="5.81640625" customWidth="1"/>
    <col min="13579" max="13824" width="9.08984375" customWidth="1"/>
    <col min="13825" max="13825" width="12.08984375" customWidth="1"/>
    <col min="13826" max="13831" width="9.08984375" customWidth="1"/>
    <col min="13832" max="13832" width="6.81640625" customWidth="1"/>
    <col min="13833" max="13833" width="4" customWidth="1"/>
    <col min="13834" max="13834" width="5.81640625" customWidth="1"/>
    <col min="13835" max="14080" width="9.08984375" customWidth="1"/>
    <col min="14081" max="14081" width="12.08984375" customWidth="1"/>
    <col min="14082" max="14087" width="9.08984375" customWidth="1"/>
    <col min="14088" max="14088" width="6.81640625" customWidth="1"/>
    <col min="14089" max="14089" width="4" customWidth="1"/>
    <col min="14090" max="14090" width="5.81640625" customWidth="1"/>
    <col min="14091" max="14336" width="9.08984375" customWidth="1"/>
    <col min="14337" max="14337" width="12.08984375" customWidth="1"/>
    <col min="14338" max="14343" width="9.08984375" customWidth="1"/>
    <col min="14344" max="14344" width="6.81640625" customWidth="1"/>
    <col min="14345" max="14345" width="4" customWidth="1"/>
    <col min="14346" max="14346" width="5.81640625" customWidth="1"/>
    <col min="14347" max="14592" width="9.08984375" customWidth="1"/>
    <col min="14593" max="14593" width="12.08984375" customWidth="1"/>
    <col min="14594" max="14599" width="9.08984375" customWidth="1"/>
    <col min="14600" max="14600" width="6.81640625" customWidth="1"/>
    <col min="14601" max="14601" width="4" customWidth="1"/>
    <col min="14602" max="14602" width="5.81640625" customWidth="1"/>
    <col min="14603" max="14848" width="9.08984375" customWidth="1"/>
    <col min="14849" max="14849" width="12.08984375" customWidth="1"/>
    <col min="14850" max="14855" width="9.08984375" customWidth="1"/>
    <col min="14856" max="14856" width="6.81640625" customWidth="1"/>
    <col min="14857" max="14857" width="4" customWidth="1"/>
    <col min="14858" max="14858" width="5.81640625" customWidth="1"/>
    <col min="14859" max="15104" width="9.08984375" customWidth="1"/>
    <col min="15105" max="15105" width="12.08984375" customWidth="1"/>
    <col min="15106" max="15111" width="9.08984375" customWidth="1"/>
    <col min="15112" max="15112" width="6.81640625" customWidth="1"/>
    <col min="15113" max="15113" width="4" customWidth="1"/>
    <col min="15114" max="15114" width="5.81640625" customWidth="1"/>
    <col min="15115" max="15360" width="9.08984375" customWidth="1"/>
    <col min="15361" max="15361" width="12.08984375" customWidth="1"/>
    <col min="15362" max="15367" width="9.08984375" customWidth="1"/>
    <col min="15368" max="15368" width="6.81640625" customWidth="1"/>
    <col min="15369" max="15369" width="4" customWidth="1"/>
    <col min="15370" max="15370" width="5.81640625" customWidth="1"/>
    <col min="15371" max="15616" width="9.08984375" customWidth="1"/>
    <col min="15617" max="15617" width="12.08984375" customWidth="1"/>
    <col min="15618" max="15623" width="9.08984375" customWidth="1"/>
    <col min="15624" max="15624" width="6.81640625" customWidth="1"/>
    <col min="15625" max="15625" width="4" customWidth="1"/>
    <col min="15626" max="15626" width="5.81640625" customWidth="1"/>
    <col min="15627" max="15872" width="9.08984375" customWidth="1"/>
    <col min="15873" max="15873" width="12.08984375" customWidth="1"/>
    <col min="15874" max="15879" width="9.08984375" customWidth="1"/>
    <col min="15880" max="15880" width="6.81640625" customWidth="1"/>
    <col min="15881" max="15881" width="4" customWidth="1"/>
    <col min="15882" max="15882" width="5.81640625" customWidth="1"/>
    <col min="15883" max="16128" width="9.08984375" customWidth="1"/>
    <col min="16129" max="16129" width="12.08984375" customWidth="1"/>
    <col min="16130" max="16135" width="9.08984375" customWidth="1"/>
    <col min="16136" max="16136" width="6.81640625" customWidth="1"/>
    <col min="16137" max="16137" width="4" customWidth="1"/>
    <col min="16138" max="16138" width="5.81640625" customWidth="1"/>
    <col min="16139" max="16384" width="9.08984375" customWidth="1"/>
  </cols>
  <sheetData>
    <row r="1" spans="1:22">
      <c r="A1" s="1" t="s">
        <v>172</v>
      </c>
      <c r="B1" s="26"/>
      <c r="C1" s="26"/>
      <c r="D1" s="26"/>
      <c r="E1" s="26"/>
      <c r="F1" s="26"/>
      <c r="V1">
        <f>+B17^2-2*B16*B18</f>
        <v>1.050004174836924</v>
      </c>
    </row>
    <row r="2" spans="1:22">
      <c r="A2" s="6" t="s">
        <v>190</v>
      </c>
      <c r="B2" s="26"/>
      <c r="C2" s="26"/>
      <c r="D2" s="26"/>
      <c r="E2" s="26"/>
      <c r="F2" s="26"/>
      <c r="V2">
        <f>+(-$B$17+SQRT($V$1))/($B$16)</f>
        <v>-2.9924548699882365</v>
      </c>
    </row>
    <row r="3" spans="1:22">
      <c r="A3" s="6"/>
      <c r="B3" s="26"/>
      <c r="C3" s="26"/>
      <c r="D3" s="26"/>
      <c r="E3" s="26"/>
      <c r="F3" s="26"/>
    </row>
    <row r="4" spans="1:22">
      <c r="A4" s="47" t="s">
        <v>135</v>
      </c>
      <c r="B4" s="48"/>
      <c r="C4" s="48"/>
      <c r="D4" s="48"/>
      <c r="E4" s="142"/>
      <c r="F4" s="26"/>
    </row>
    <row r="5" spans="1:22">
      <c r="A5" s="3"/>
      <c r="B5" s="26"/>
      <c r="C5" s="26"/>
      <c r="D5" s="26"/>
      <c r="E5" s="26"/>
      <c r="F5" s="26"/>
    </row>
    <row r="6" spans="1:22" ht="15" thickBot="1">
      <c r="A6" s="102" t="s">
        <v>1</v>
      </c>
      <c r="B6" s="103"/>
      <c r="C6" s="26"/>
      <c r="D6" s="26"/>
      <c r="E6" s="26"/>
      <c r="F6" s="26"/>
    </row>
    <row r="7" spans="1:22" ht="16" thickTop="1">
      <c r="A7" s="128" t="s">
        <v>167</v>
      </c>
      <c r="B7" s="28">
        <v>300</v>
      </c>
      <c r="C7" s="1" t="s">
        <v>279</v>
      </c>
      <c r="D7" s="94"/>
      <c r="E7" s="94"/>
      <c r="F7" s="94"/>
      <c r="G7" s="95"/>
      <c r="H7" s="95"/>
      <c r="I7" s="95"/>
      <c r="J7" s="95"/>
      <c r="K7" s="95"/>
      <c r="L7" s="95"/>
      <c r="M7" s="95"/>
      <c r="N7" s="95"/>
    </row>
    <row r="8" spans="1:22" ht="15.5">
      <c r="A8" s="48" t="s">
        <v>168</v>
      </c>
      <c r="B8" s="28">
        <v>0.5</v>
      </c>
      <c r="C8" s="1" t="s">
        <v>49</v>
      </c>
      <c r="D8" s="94"/>
      <c r="E8" s="94"/>
      <c r="F8" s="94"/>
      <c r="G8" s="95"/>
      <c r="H8" s="95"/>
      <c r="I8" s="95"/>
      <c r="J8" s="95"/>
      <c r="K8" s="95"/>
      <c r="L8" s="95"/>
      <c r="M8" s="95"/>
      <c r="N8" s="95"/>
    </row>
    <row r="9" spans="1:22" ht="15.5">
      <c r="A9" s="6" t="s">
        <v>169</v>
      </c>
      <c r="B9" s="37">
        <f>1.3*(B8)</f>
        <v>0.65</v>
      </c>
      <c r="C9" s="6" t="s">
        <v>50</v>
      </c>
      <c r="D9" s="94"/>
      <c r="E9" s="94"/>
      <c r="F9" s="94"/>
      <c r="G9" s="95"/>
      <c r="H9" s="95"/>
      <c r="I9" s="95"/>
      <c r="J9" s="95"/>
      <c r="K9" s="95"/>
      <c r="L9" s="95"/>
      <c r="M9" s="95"/>
      <c r="N9" s="95"/>
    </row>
    <row r="10" spans="1:22" ht="15.5">
      <c r="A10" s="128" t="s">
        <v>170</v>
      </c>
      <c r="B10" s="28">
        <v>1</v>
      </c>
      <c r="C10" s="1" t="s">
        <v>174</v>
      </c>
      <c r="D10" s="94"/>
      <c r="E10" s="94"/>
      <c r="F10" s="94"/>
      <c r="G10" s="95"/>
      <c r="H10" s="95"/>
      <c r="I10" s="95"/>
      <c r="J10" s="95"/>
      <c r="K10" s="95"/>
      <c r="L10" s="95"/>
      <c r="M10" s="95"/>
      <c r="N10" s="95"/>
    </row>
    <row r="11" spans="1:22" ht="15.5">
      <c r="A11" s="128" t="s">
        <v>171</v>
      </c>
      <c r="B11" s="28">
        <v>7</v>
      </c>
      <c r="C11" s="1" t="s">
        <v>52</v>
      </c>
      <c r="D11" s="94"/>
      <c r="E11" s="94"/>
      <c r="F11" s="94"/>
      <c r="G11" s="95"/>
      <c r="H11" s="95"/>
      <c r="I11" s="95"/>
      <c r="J11" s="95"/>
      <c r="K11" s="95"/>
      <c r="L11" s="95"/>
      <c r="M11" s="95"/>
      <c r="N11" s="95"/>
    </row>
    <row r="12" spans="1:22">
      <c r="A12" s="135" t="s">
        <v>42</v>
      </c>
      <c r="B12" s="27">
        <v>0.74</v>
      </c>
      <c r="C12" s="1" t="s">
        <v>151</v>
      </c>
      <c r="D12" s="94"/>
      <c r="E12" s="94"/>
      <c r="F12" s="94"/>
      <c r="G12" s="95"/>
      <c r="H12" s="95"/>
      <c r="I12" s="95"/>
      <c r="J12" s="95"/>
      <c r="K12" s="95"/>
      <c r="L12" s="95"/>
      <c r="M12" s="95"/>
      <c r="N12" s="95"/>
    </row>
    <row r="13" spans="1:22" ht="15">
      <c r="A13" s="26"/>
      <c r="B13" s="26"/>
      <c r="C13" s="1" t="s">
        <v>283</v>
      </c>
      <c r="D13" s="94"/>
      <c r="E13" s="94"/>
      <c r="F13" s="94"/>
      <c r="G13" s="95"/>
      <c r="H13" s="95"/>
      <c r="I13" s="95"/>
      <c r="J13" s="95"/>
      <c r="K13" s="95"/>
      <c r="L13" s="95"/>
      <c r="M13" s="95"/>
      <c r="N13" s="95"/>
    </row>
    <row r="14" spans="1:22">
      <c r="A14" s="26"/>
      <c r="B14" s="26"/>
      <c r="C14" s="6"/>
      <c r="D14" s="26"/>
      <c r="E14" s="26"/>
      <c r="F14" s="26"/>
    </row>
    <row r="15" spans="1:22" ht="15" thickBot="1">
      <c r="A15" s="5" t="s">
        <v>53</v>
      </c>
      <c r="B15" s="29"/>
      <c r="C15" s="29"/>
      <c r="D15" s="29"/>
      <c r="E15" s="26"/>
      <c r="F15" s="26"/>
    </row>
    <row r="16" spans="1:22" ht="15" thickTop="1">
      <c r="A16" s="6" t="s">
        <v>54</v>
      </c>
      <c r="B16" s="38">
        <f>0.245*2</f>
        <v>0.49</v>
      </c>
      <c r="C16" s="26" t="s">
        <v>55</v>
      </c>
      <c r="D16" s="26"/>
      <c r="E16" s="39"/>
      <c r="F16" s="26"/>
    </row>
    <row r="17" spans="1:13">
      <c r="A17" s="6" t="s">
        <v>56</v>
      </c>
      <c r="B17" s="38">
        <f>2.491-0.344*LN(B10)</f>
        <v>2.4910000000000001</v>
      </c>
      <c r="C17" s="26" t="s">
        <v>126</v>
      </c>
      <c r="D17" s="26"/>
      <c r="E17" s="26"/>
      <c r="F17" s="26"/>
    </row>
    <row r="18" spans="1:13">
      <c r="A18" s="6" t="s">
        <v>61</v>
      </c>
      <c r="B18" s="38">
        <f>IF(B8&gt;=0.1,5.894-2.703*LN(B10)+0.089*LN(B10)^2-3.152*B8+0.91*B8^2-0.607*(B11)+LN(B7)-B12,4.551-2.703*LN(B10)+0.089*LN(B10)^2+9.688*B8+0*B8^2-0.607*(B11)+LN(B7)-B12)</f>
        <v>5.2602824746562007</v>
      </c>
      <c r="C18" s="6" t="s">
        <v>136</v>
      </c>
      <c r="D18" s="26"/>
      <c r="E18" s="26"/>
      <c r="F18" s="26"/>
    </row>
    <row r="19" spans="1:13">
      <c r="A19" s="6" t="s">
        <v>57</v>
      </c>
      <c r="B19" s="38">
        <f>MAX(0,B17^2-2*B16*B18)</f>
        <v>1.050004174836924</v>
      </c>
      <c r="C19" s="6" t="s">
        <v>127</v>
      </c>
      <c r="D19" s="26"/>
      <c r="E19" s="26"/>
      <c r="F19" s="26"/>
    </row>
    <row r="20" spans="1:13">
      <c r="A20" s="10" t="s">
        <v>58</v>
      </c>
      <c r="B20" s="40">
        <f>(-$B$17+SQRT($B$19))/($B$16)</f>
        <v>-2.9924548699882365</v>
      </c>
      <c r="C20" s="10" t="s">
        <v>137</v>
      </c>
      <c r="D20" s="41"/>
      <c r="E20" s="26"/>
      <c r="F20" s="26"/>
    </row>
    <row r="21" spans="1:13">
      <c r="A21" s="26"/>
      <c r="B21" s="37"/>
      <c r="C21" s="26"/>
      <c r="D21" s="37"/>
      <c r="E21" s="26"/>
      <c r="F21" s="26"/>
    </row>
    <row r="22" spans="1:13" ht="15" thickBot="1">
      <c r="A22" s="136" t="s">
        <v>59</v>
      </c>
      <c r="B22" s="137"/>
      <c r="C22" s="138"/>
      <c r="D22" s="137"/>
      <c r="E22" s="26"/>
      <c r="F22" s="26"/>
    </row>
    <row r="23" spans="1:13" ht="15" thickTop="1">
      <c r="A23" s="15" t="s">
        <v>60</v>
      </c>
      <c r="B23" s="139">
        <f>MAX(0.03, IFERROR(EXP(V2), 0.03))</f>
        <v>5.0164139006246722E-2</v>
      </c>
      <c r="C23" s="16"/>
      <c r="D23" s="42"/>
      <c r="E23" s="26"/>
      <c r="F23" s="26"/>
    </row>
    <row r="24" spans="1:13">
      <c r="A24" s="6"/>
      <c r="B24" s="14"/>
      <c r="D24" s="17"/>
    </row>
    <row r="25" spans="1:13">
      <c r="A25" s="6" t="s">
        <v>280</v>
      </c>
      <c r="I25" s="134"/>
      <c r="J25" s="6"/>
      <c r="L25" s="95">
        <f>(B7)</f>
        <v>300</v>
      </c>
      <c r="M25" t="s">
        <v>282</v>
      </c>
    </row>
    <row r="29" spans="1:13">
      <c r="A29" s="19"/>
      <c r="B29" s="14"/>
      <c r="C29" s="6"/>
    </row>
  </sheetData>
  <sheetProtection algorithmName="SHA-512" hashValue="bx4gyVJzmFaqWIyj+AWG3VG39fmMDjH25UQK4A5qu4L1m9mpq3hdm4jgBlzlVi1i8CKLk+AO23QQQSE0kj8wzw==" saltValue="MN+JzqhdiIzCPSn6nm231g==" spinCount="100000" sheet="1" selectLockedCells="1"/>
  <phoneticPr fontId="30" type="noConversion"/>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249977111117893"/>
  </sheetPr>
  <dimension ref="A1:AG51"/>
  <sheetViews>
    <sheetView workbookViewId="0">
      <selection activeCell="B27" sqref="B27"/>
    </sheetView>
  </sheetViews>
  <sheetFormatPr defaultColWidth="11.453125" defaultRowHeight="14.5"/>
  <cols>
    <col min="1" max="1" width="12.08984375" customWidth="1"/>
    <col min="2" max="2" width="12.81640625" customWidth="1"/>
    <col min="3" max="3" width="16.453125" bestFit="1" customWidth="1"/>
    <col min="4" max="11" width="9.08984375" customWidth="1"/>
    <col min="12" max="12" width="15.6328125" style="111" customWidth="1"/>
    <col min="13" max="13" width="18" style="111" customWidth="1"/>
    <col min="14" max="14" width="16.36328125" style="111" customWidth="1"/>
    <col min="15" max="15" width="11.453125" style="111" customWidth="1"/>
    <col min="16" max="16" width="10.6328125" style="111" customWidth="1"/>
    <col min="17" max="17" width="13" style="111" customWidth="1"/>
    <col min="18" max="18" width="12.6328125" style="111" customWidth="1"/>
    <col min="19" max="19" width="12.08984375" style="111" customWidth="1"/>
    <col min="20" max="20" width="12.453125" style="111" customWidth="1"/>
    <col min="21" max="21" width="12.6328125" style="111" customWidth="1"/>
    <col min="22" max="31" width="9.08984375" customWidth="1"/>
    <col min="32" max="32" width="16.6328125" customWidth="1"/>
    <col min="33" max="256" width="9.08984375" customWidth="1"/>
    <col min="257" max="257" width="10.6328125" customWidth="1"/>
    <col min="258" max="258" width="9.08984375" customWidth="1"/>
    <col min="259" max="259" width="16.453125" bestFit="1" customWidth="1"/>
    <col min="260" max="512" width="9.08984375" customWidth="1"/>
    <col min="513" max="513" width="10.6328125" customWidth="1"/>
    <col min="514" max="514" width="9.08984375" customWidth="1"/>
    <col min="515" max="515" width="16.453125" bestFit="1" customWidth="1"/>
    <col min="516" max="768" width="9.08984375" customWidth="1"/>
    <col min="769" max="769" width="10.6328125" customWidth="1"/>
    <col min="770" max="770" width="9.08984375" customWidth="1"/>
    <col min="771" max="771" width="16.453125" bestFit="1" customWidth="1"/>
    <col min="772" max="1024" width="9.08984375" customWidth="1"/>
    <col min="1025" max="1025" width="10.6328125" customWidth="1"/>
    <col min="1026" max="1026" width="9.08984375" customWidth="1"/>
    <col min="1027" max="1027" width="16.453125" bestFit="1" customWidth="1"/>
    <col min="1028" max="1280" width="9.08984375" customWidth="1"/>
    <col min="1281" max="1281" width="10.6328125" customWidth="1"/>
    <col min="1282" max="1282" width="9.08984375" customWidth="1"/>
    <col min="1283" max="1283" width="16.453125" bestFit="1" customWidth="1"/>
    <col min="1284" max="1536" width="9.08984375" customWidth="1"/>
    <col min="1537" max="1537" width="10.6328125" customWidth="1"/>
    <col min="1538" max="1538" width="9.08984375" customWidth="1"/>
    <col min="1539" max="1539" width="16.453125" bestFit="1" customWidth="1"/>
    <col min="1540" max="1792" width="9.08984375" customWidth="1"/>
    <col min="1793" max="1793" width="10.6328125" customWidth="1"/>
    <col min="1794" max="1794" width="9.08984375" customWidth="1"/>
    <col min="1795" max="1795" width="16.453125" bestFit="1" customWidth="1"/>
    <col min="1796" max="2048" width="9.08984375" customWidth="1"/>
    <col min="2049" max="2049" width="10.6328125" customWidth="1"/>
    <col min="2050" max="2050" width="9.08984375" customWidth="1"/>
    <col min="2051" max="2051" width="16.453125" bestFit="1" customWidth="1"/>
    <col min="2052" max="2304" width="9.08984375" customWidth="1"/>
    <col min="2305" max="2305" width="10.6328125" customWidth="1"/>
    <col min="2306" max="2306" width="9.08984375" customWidth="1"/>
    <col min="2307" max="2307" width="16.453125" bestFit="1" customWidth="1"/>
    <col min="2308" max="2560" width="9.08984375" customWidth="1"/>
    <col min="2561" max="2561" width="10.6328125" customWidth="1"/>
    <col min="2562" max="2562" width="9.08984375" customWidth="1"/>
    <col min="2563" max="2563" width="16.453125" bestFit="1" customWidth="1"/>
    <col min="2564" max="2816" width="9.08984375" customWidth="1"/>
    <col min="2817" max="2817" width="10.6328125" customWidth="1"/>
    <col min="2818" max="2818" width="9.08984375" customWidth="1"/>
    <col min="2819" max="2819" width="16.453125" bestFit="1" customWidth="1"/>
    <col min="2820" max="3072" width="9.08984375" customWidth="1"/>
    <col min="3073" max="3073" width="10.6328125" customWidth="1"/>
    <col min="3074" max="3074" width="9.08984375" customWidth="1"/>
    <col min="3075" max="3075" width="16.453125" bestFit="1" customWidth="1"/>
    <col min="3076" max="3328" width="9.08984375" customWidth="1"/>
    <col min="3329" max="3329" width="10.6328125" customWidth="1"/>
    <col min="3330" max="3330" width="9.08984375" customWidth="1"/>
    <col min="3331" max="3331" width="16.453125" bestFit="1" customWidth="1"/>
    <col min="3332" max="3584" width="9.08984375" customWidth="1"/>
    <col min="3585" max="3585" width="10.6328125" customWidth="1"/>
    <col min="3586" max="3586" width="9.08984375" customWidth="1"/>
    <col min="3587" max="3587" width="16.453125" bestFit="1" customWidth="1"/>
    <col min="3588" max="3840" width="9.08984375" customWidth="1"/>
    <col min="3841" max="3841" width="10.6328125" customWidth="1"/>
    <col min="3842" max="3842" width="9.08984375" customWidth="1"/>
    <col min="3843" max="3843" width="16.453125" bestFit="1" customWidth="1"/>
    <col min="3844" max="4096" width="9.08984375" customWidth="1"/>
    <col min="4097" max="4097" width="10.6328125" customWidth="1"/>
    <col min="4098" max="4098" width="9.08984375" customWidth="1"/>
    <col min="4099" max="4099" width="16.453125" bestFit="1" customWidth="1"/>
    <col min="4100" max="4352" width="9.08984375" customWidth="1"/>
    <col min="4353" max="4353" width="10.6328125" customWidth="1"/>
    <col min="4354" max="4354" width="9.08984375" customWidth="1"/>
    <col min="4355" max="4355" width="16.453125" bestFit="1" customWidth="1"/>
    <col min="4356" max="4608" width="9.08984375" customWidth="1"/>
    <col min="4609" max="4609" width="10.6328125" customWidth="1"/>
    <col min="4610" max="4610" width="9.08984375" customWidth="1"/>
    <col min="4611" max="4611" width="16.453125" bestFit="1" customWidth="1"/>
    <col min="4612" max="4864" width="9.08984375" customWidth="1"/>
    <col min="4865" max="4865" width="10.6328125" customWidth="1"/>
    <col min="4866" max="4866" width="9.08984375" customWidth="1"/>
    <col min="4867" max="4867" width="16.453125" bestFit="1" customWidth="1"/>
    <col min="4868" max="5120" width="9.08984375" customWidth="1"/>
    <col min="5121" max="5121" width="10.6328125" customWidth="1"/>
    <col min="5122" max="5122" width="9.08984375" customWidth="1"/>
    <col min="5123" max="5123" width="16.453125" bestFit="1" customWidth="1"/>
    <col min="5124" max="5376" width="9.08984375" customWidth="1"/>
    <col min="5377" max="5377" width="10.6328125" customWidth="1"/>
    <col min="5378" max="5378" width="9.08984375" customWidth="1"/>
    <col min="5379" max="5379" width="16.453125" bestFit="1" customWidth="1"/>
    <col min="5380" max="5632" width="9.08984375" customWidth="1"/>
    <col min="5633" max="5633" width="10.6328125" customWidth="1"/>
    <col min="5634" max="5634" width="9.08984375" customWidth="1"/>
    <col min="5635" max="5635" width="16.453125" bestFit="1" customWidth="1"/>
    <col min="5636" max="5888" width="9.08984375" customWidth="1"/>
    <col min="5889" max="5889" width="10.6328125" customWidth="1"/>
    <col min="5890" max="5890" width="9.08984375" customWidth="1"/>
    <col min="5891" max="5891" width="16.453125" bestFit="1" customWidth="1"/>
    <col min="5892" max="6144" width="9.08984375" customWidth="1"/>
    <col min="6145" max="6145" width="10.6328125" customWidth="1"/>
    <col min="6146" max="6146" width="9.08984375" customWidth="1"/>
    <col min="6147" max="6147" width="16.453125" bestFit="1" customWidth="1"/>
    <col min="6148" max="6400" width="9.08984375" customWidth="1"/>
    <col min="6401" max="6401" width="10.6328125" customWidth="1"/>
    <col min="6402" max="6402" width="9.08984375" customWidth="1"/>
    <col min="6403" max="6403" width="16.453125" bestFit="1" customWidth="1"/>
    <col min="6404" max="6656" width="9.08984375" customWidth="1"/>
    <col min="6657" max="6657" width="10.6328125" customWidth="1"/>
    <col min="6658" max="6658" width="9.08984375" customWidth="1"/>
    <col min="6659" max="6659" width="16.453125" bestFit="1" customWidth="1"/>
    <col min="6660" max="6912" width="9.08984375" customWidth="1"/>
    <col min="6913" max="6913" width="10.6328125" customWidth="1"/>
    <col min="6914" max="6914" width="9.08984375" customWidth="1"/>
    <col min="6915" max="6915" width="16.453125" bestFit="1" customWidth="1"/>
    <col min="6916" max="7168" width="9.08984375" customWidth="1"/>
    <col min="7169" max="7169" width="10.6328125" customWidth="1"/>
    <col min="7170" max="7170" width="9.08984375" customWidth="1"/>
    <col min="7171" max="7171" width="16.453125" bestFit="1" customWidth="1"/>
    <col min="7172" max="7424" width="9.08984375" customWidth="1"/>
    <col min="7425" max="7425" width="10.6328125" customWidth="1"/>
    <col min="7426" max="7426" width="9.08984375" customWidth="1"/>
    <col min="7427" max="7427" width="16.453125" bestFit="1" customWidth="1"/>
    <col min="7428" max="7680" width="9.08984375" customWidth="1"/>
    <col min="7681" max="7681" width="10.6328125" customWidth="1"/>
    <col min="7682" max="7682" width="9.08984375" customWidth="1"/>
    <col min="7683" max="7683" width="16.453125" bestFit="1" customWidth="1"/>
    <col min="7684" max="7936" width="9.08984375" customWidth="1"/>
    <col min="7937" max="7937" width="10.6328125" customWidth="1"/>
    <col min="7938" max="7938" width="9.08984375" customWidth="1"/>
    <col min="7939" max="7939" width="16.453125" bestFit="1" customWidth="1"/>
    <col min="7940" max="8192" width="9.08984375" customWidth="1"/>
    <col min="8193" max="8193" width="10.6328125" customWidth="1"/>
    <col min="8194" max="8194" width="9.08984375" customWidth="1"/>
    <col min="8195" max="8195" width="16.453125" bestFit="1" customWidth="1"/>
    <col min="8196" max="8448" width="9.08984375" customWidth="1"/>
    <col min="8449" max="8449" width="10.6328125" customWidth="1"/>
    <col min="8450" max="8450" width="9.08984375" customWidth="1"/>
    <col min="8451" max="8451" width="16.453125" bestFit="1" customWidth="1"/>
    <col min="8452" max="8704" width="9.08984375" customWidth="1"/>
    <col min="8705" max="8705" width="10.6328125" customWidth="1"/>
    <col min="8706" max="8706" width="9.08984375" customWidth="1"/>
    <col min="8707" max="8707" width="16.453125" bestFit="1" customWidth="1"/>
    <col min="8708" max="8960" width="9.08984375" customWidth="1"/>
    <col min="8961" max="8961" width="10.6328125" customWidth="1"/>
    <col min="8962" max="8962" width="9.08984375" customWidth="1"/>
    <col min="8963" max="8963" width="16.453125" bestFit="1" customWidth="1"/>
    <col min="8964" max="9216" width="9.08984375" customWidth="1"/>
    <col min="9217" max="9217" width="10.6328125" customWidth="1"/>
    <col min="9218" max="9218" width="9.08984375" customWidth="1"/>
    <col min="9219" max="9219" width="16.453125" bestFit="1" customWidth="1"/>
    <col min="9220" max="9472" width="9.08984375" customWidth="1"/>
    <col min="9473" max="9473" width="10.6328125" customWidth="1"/>
    <col min="9474" max="9474" width="9.08984375" customWidth="1"/>
    <col min="9475" max="9475" width="16.453125" bestFit="1" customWidth="1"/>
    <col min="9476" max="9728" width="9.08984375" customWidth="1"/>
    <col min="9729" max="9729" width="10.6328125" customWidth="1"/>
    <col min="9730" max="9730" width="9.08984375" customWidth="1"/>
    <col min="9731" max="9731" width="16.453125" bestFit="1" customWidth="1"/>
    <col min="9732" max="9984" width="9.08984375" customWidth="1"/>
    <col min="9985" max="9985" width="10.6328125" customWidth="1"/>
    <col min="9986" max="9986" width="9.08984375" customWidth="1"/>
    <col min="9987" max="9987" width="16.453125" bestFit="1" customWidth="1"/>
    <col min="9988" max="10240" width="9.08984375" customWidth="1"/>
    <col min="10241" max="10241" width="10.6328125" customWidth="1"/>
    <col min="10242" max="10242" width="9.08984375" customWidth="1"/>
    <col min="10243" max="10243" width="16.453125" bestFit="1" customWidth="1"/>
    <col min="10244" max="10496" width="9.08984375" customWidth="1"/>
    <col min="10497" max="10497" width="10.6328125" customWidth="1"/>
    <col min="10498" max="10498" width="9.08984375" customWidth="1"/>
    <col min="10499" max="10499" width="16.453125" bestFit="1" customWidth="1"/>
    <col min="10500" max="10752" width="9.08984375" customWidth="1"/>
    <col min="10753" max="10753" width="10.6328125" customWidth="1"/>
    <col min="10754" max="10754" width="9.08984375" customWidth="1"/>
    <col min="10755" max="10755" width="16.453125" bestFit="1" customWidth="1"/>
    <col min="10756" max="11008" width="9.08984375" customWidth="1"/>
    <col min="11009" max="11009" width="10.6328125" customWidth="1"/>
    <col min="11010" max="11010" width="9.08984375" customWidth="1"/>
    <col min="11011" max="11011" width="16.453125" bestFit="1" customWidth="1"/>
    <col min="11012" max="11264" width="9.08984375" customWidth="1"/>
    <col min="11265" max="11265" width="10.6328125" customWidth="1"/>
    <col min="11266" max="11266" width="9.08984375" customWidth="1"/>
    <col min="11267" max="11267" width="16.453125" bestFit="1" customWidth="1"/>
    <col min="11268" max="11520" width="9.08984375" customWidth="1"/>
    <col min="11521" max="11521" width="10.6328125" customWidth="1"/>
    <col min="11522" max="11522" width="9.08984375" customWidth="1"/>
    <col min="11523" max="11523" width="16.453125" bestFit="1" customWidth="1"/>
    <col min="11524" max="11776" width="9.08984375" customWidth="1"/>
    <col min="11777" max="11777" width="10.6328125" customWidth="1"/>
    <col min="11778" max="11778" width="9.08984375" customWidth="1"/>
    <col min="11779" max="11779" width="16.453125" bestFit="1" customWidth="1"/>
    <col min="11780" max="12032" width="9.08984375" customWidth="1"/>
    <col min="12033" max="12033" width="10.6328125" customWidth="1"/>
    <col min="12034" max="12034" width="9.08984375" customWidth="1"/>
    <col min="12035" max="12035" width="16.453125" bestFit="1" customWidth="1"/>
    <col min="12036" max="12288" width="9.08984375" customWidth="1"/>
    <col min="12289" max="12289" width="10.6328125" customWidth="1"/>
    <col min="12290" max="12290" width="9.08984375" customWidth="1"/>
    <col min="12291" max="12291" width="16.453125" bestFit="1" customWidth="1"/>
    <col min="12292" max="12544" width="9.08984375" customWidth="1"/>
    <col min="12545" max="12545" width="10.6328125" customWidth="1"/>
    <col min="12546" max="12546" width="9.08984375" customWidth="1"/>
    <col min="12547" max="12547" width="16.453125" bestFit="1" customWidth="1"/>
    <col min="12548" max="12800" width="9.08984375" customWidth="1"/>
    <col min="12801" max="12801" width="10.6328125" customWidth="1"/>
    <col min="12802" max="12802" width="9.08984375" customWidth="1"/>
    <col min="12803" max="12803" width="16.453125" bestFit="1" customWidth="1"/>
    <col min="12804" max="13056" width="9.08984375" customWidth="1"/>
    <col min="13057" max="13057" width="10.6328125" customWidth="1"/>
    <col min="13058" max="13058" width="9.08984375" customWidth="1"/>
    <col min="13059" max="13059" width="16.453125" bestFit="1" customWidth="1"/>
    <col min="13060" max="13312" width="9.08984375" customWidth="1"/>
    <col min="13313" max="13313" width="10.6328125" customWidth="1"/>
    <col min="13314" max="13314" width="9.08984375" customWidth="1"/>
    <col min="13315" max="13315" width="16.453125" bestFit="1" customWidth="1"/>
    <col min="13316" max="13568" width="9.08984375" customWidth="1"/>
    <col min="13569" max="13569" width="10.6328125" customWidth="1"/>
    <col min="13570" max="13570" width="9.08984375" customWidth="1"/>
    <col min="13571" max="13571" width="16.453125" bestFit="1" customWidth="1"/>
    <col min="13572" max="13824" width="9.08984375" customWidth="1"/>
    <col min="13825" max="13825" width="10.6328125" customWidth="1"/>
    <col min="13826" max="13826" width="9.08984375" customWidth="1"/>
    <col min="13827" max="13827" width="16.453125" bestFit="1" customWidth="1"/>
    <col min="13828" max="14080" width="9.08984375" customWidth="1"/>
    <col min="14081" max="14081" width="10.6328125" customWidth="1"/>
    <col min="14082" max="14082" width="9.08984375" customWidth="1"/>
    <col min="14083" max="14083" width="16.453125" bestFit="1" customWidth="1"/>
    <col min="14084" max="14336" width="9.08984375" customWidth="1"/>
    <col min="14337" max="14337" width="10.6328125" customWidth="1"/>
    <col min="14338" max="14338" width="9.08984375" customWidth="1"/>
    <col min="14339" max="14339" width="16.453125" bestFit="1" customWidth="1"/>
    <col min="14340" max="14592" width="9.08984375" customWidth="1"/>
    <col min="14593" max="14593" width="10.6328125" customWidth="1"/>
    <col min="14594" max="14594" width="9.08984375" customWidth="1"/>
    <col min="14595" max="14595" width="16.453125" bestFit="1" customWidth="1"/>
    <col min="14596" max="14848" width="9.08984375" customWidth="1"/>
    <col min="14849" max="14849" width="10.6328125" customWidth="1"/>
    <col min="14850" max="14850" width="9.08984375" customWidth="1"/>
    <col min="14851" max="14851" width="16.453125" bestFit="1" customWidth="1"/>
    <col min="14852" max="15104" width="9.08984375" customWidth="1"/>
    <col min="15105" max="15105" width="10.6328125" customWidth="1"/>
    <col min="15106" max="15106" width="9.08984375" customWidth="1"/>
    <col min="15107" max="15107" width="16.453125" bestFit="1" customWidth="1"/>
    <col min="15108" max="15360" width="9.08984375" customWidth="1"/>
    <col min="15361" max="15361" width="10.6328125" customWidth="1"/>
    <col min="15362" max="15362" width="9.08984375" customWidth="1"/>
    <col min="15363" max="15363" width="16.453125" bestFit="1" customWidth="1"/>
    <col min="15364" max="15616" width="9.08984375" customWidth="1"/>
    <col min="15617" max="15617" width="10.6328125" customWidth="1"/>
    <col min="15618" max="15618" width="9.08984375" customWidth="1"/>
    <col min="15619" max="15619" width="16.453125" bestFit="1" customWidth="1"/>
    <col min="15620" max="15872" width="9.08984375" customWidth="1"/>
    <col min="15873" max="15873" width="10.6328125" customWidth="1"/>
    <col min="15874" max="15874" width="9.08984375" customWidth="1"/>
    <col min="15875" max="15875" width="16.453125" bestFit="1" customWidth="1"/>
    <col min="15876" max="16128" width="9.08984375" customWidth="1"/>
    <col min="16129" max="16129" width="10.6328125" customWidth="1"/>
    <col min="16130" max="16130" width="9.08984375" customWidth="1"/>
    <col min="16131" max="16131" width="16.453125" bestFit="1" customWidth="1"/>
    <col min="16132" max="16384" width="9.08984375" customWidth="1"/>
  </cols>
  <sheetData>
    <row r="1" spans="1:33">
      <c r="A1" s="94" t="s">
        <v>122</v>
      </c>
      <c r="H1" s="94" t="s">
        <v>121</v>
      </c>
      <c r="P1" s="94" t="s">
        <v>120</v>
      </c>
      <c r="Q1"/>
      <c r="V1" s="94" t="s">
        <v>123</v>
      </c>
      <c r="X1" s="111"/>
      <c r="Y1" s="111"/>
      <c r="Z1" s="111"/>
    </row>
    <row r="2" spans="1:33">
      <c r="A2" t="s">
        <v>176</v>
      </c>
      <c r="H2" t="s">
        <v>176</v>
      </c>
      <c r="P2" t="s">
        <v>119</v>
      </c>
      <c r="Q2"/>
      <c r="V2" t="s">
        <v>119</v>
      </c>
      <c r="X2" s="111"/>
      <c r="Y2" s="111"/>
      <c r="Z2" s="111"/>
    </row>
    <row r="3" spans="1:33">
      <c r="H3" s="94"/>
      <c r="P3"/>
      <c r="Q3"/>
      <c r="X3" s="111"/>
      <c r="Y3" s="111"/>
      <c r="Z3" s="111"/>
    </row>
    <row r="4" spans="1:33">
      <c r="A4" s="131" t="s">
        <v>62</v>
      </c>
      <c r="B4" s="131"/>
      <c r="C4" s="111"/>
      <c r="D4" s="131" t="s">
        <v>46</v>
      </c>
      <c r="E4" s="131"/>
      <c r="F4" s="111"/>
      <c r="G4" s="111"/>
      <c r="H4" s="131" t="s">
        <v>62</v>
      </c>
      <c r="I4" s="131"/>
      <c r="J4" s="111"/>
      <c r="K4" s="131" t="s">
        <v>46</v>
      </c>
      <c r="L4" s="131"/>
      <c r="P4" s="131" t="s">
        <v>62</v>
      </c>
      <c r="Q4" s="131"/>
      <c r="R4"/>
      <c r="S4" s="131" t="s">
        <v>46</v>
      </c>
      <c r="T4" s="131"/>
      <c r="V4" s="131" t="s">
        <v>62</v>
      </c>
      <c r="W4" s="131"/>
      <c r="Y4" s="131" t="s">
        <v>46</v>
      </c>
      <c r="Z4" s="131"/>
      <c r="AC4" s="112">
        <v>0.02</v>
      </c>
      <c r="AD4">
        <f>+IF('Seismic Displacement_Crustal'!$B$9&lt;=0.7,1-NORMSDIST('Model Coefficients_Crustal'!$B$5+'Model Coefficients_Crustal'!$B$6*LN(AC4)+'Model Coefficients_Crustal'!$B$7*LN(AC4)^2+'Model Coefficients_Crustal'!$B$8*'Seismic Displacement_Crustal'!$B$9*LN(AC4)+'Model Coefficients_Crustal'!$B$9*'Seismic Displacement_Crustal'!$B$9+'Model Coefficients_Crustal'!$B$10*LN('Seismic Displacement_Crustal'!$B$12)),1-NORMSDIST('Model Coefficients_Crustal'!$E$5+'Model Coefficients_Crustal'!$E$6*LN(AC4)+'Model Coefficients_Crustal'!$E$7*LN(AC4)^2+'Model Coefficients_Crustal'!$E$8*'Seismic Displacement_Crustal'!$B$9*LN(AC4)+'Model Coefficients_Crustal'!$E$9*'Seismic Displacement_Crustal'!$B$9+'Model Coefficients_Crustal'!$E$10*LN('Seismic Displacement_Crustal'!$B$12)))</f>
        <v>0</v>
      </c>
      <c r="AE4">
        <f>+IF('Seismic Displacement_Crustal'!$B$9&lt;=0.7,1-NORMSDIST('Model Coefficients_Crustal'!$I$5+'Model Coefficients_Crustal'!$I$6*LN(AC4)+'Model Coefficients_Crustal'!$I$7*LN(AC4)^2+'Model Coefficients_Crustal'!$I$8*'Seismic Displacement_Crustal'!$B$9*LN(AC4)+'Model Coefficients_Crustal'!$I$9*'Seismic Displacement_Crustal'!$B$9+'Model Coefficients_Crustal'!$I$10*LN('Seismic Displacement_Crustal'!$B$12)),1-NORMSDIST('Model Coefficients_Crustal'!$L$5+'Model Coefficients_Crustal'!$L$6*LN(AC4)+'Model Coefficients_Crustal'!$L$7*LN(AC4)^2+'Model Coefficients_Crustal'!$L$8*'Seismic Displacement_Crustal'!$B$9*LN(AC4)+'Model Coefficients_Crustal'!$L$9*'Seismic Displacement_Crustal'!$B$9+'Model Coefficients_Crustal'!$L$10*LN('Seismic Displacement_Crustal'!$B$12)))</f>
        <v>0</v>
      </c>
      <c r="AF4" s="113">
        <f>+(IF('Seismic Displacement_Crustal'!$B$9&lt;=0.7,1+EXP($Q$5+$Q$6*LN(AC4)+$Q$7*LN('Seismic Displacement_Crustal'!$B$14)+$Q$8*'Seismic Displacement_Crustal'!$B$9+$Q$9*LN('Seismic Displacement_Crustal'!$B$12)),1+EXP($T$5+$T$6*LN(AC4)+$T$7*LN('Seismic Displacement_Crustal'!$B$14)+$T$8*'Seismic Displacement_Crustal'!$B$9+$T$9*LN('Seismic Displacement_Crustal'!$B$12))))^-1</f>
        <v>1.5516695567120079E-11</v>
      </c>
      <c r="AG4">
        <f>+(IF('Seismic Displacement_Crustal'!$B$9&lt;=0.7,1+EXP($W$5+$W$6*LN(AC4)+$W$7*LN('Seismic Displacement_Crustal'!$B$14)+$W$8*'Seismic Displacement_Crustal'!$B$9+$W$9*LN('Seismic Displacement_Crustal'!$B$12)),1+EXP($Z$5+$Z$6*LN(AC4)+$Z$7*LN('Seismic Displacement_Crustal'!$B$14)+$Z$8*'Seismic Displacement_Crustal'!$B$9+$Z$9*LN('Seismic Displacement_Crustal'!$B$12))))^-1</f>
        <v>1.0628843000303085E-12</v>
      </c>
    </row>
    <row r="5" spans="1:33">
      <c r="A5" s="111" t="s">
        <v>37</v>
      </c>
      <c r="B5" s="114">
        <v>-2.46</v>
      </c>
      <c r="C5" s="114"/>
      <c r="D5" s="111" t="s">
        <v>37</v>
      </c>
      <c r="E5" s="114">
        <v>-3.4</v>
      </c>
      <c r="F5" s="114"/>
      <c r="G5" s="114"/>
      <c r="H5" s="111" t="s">
        <v>37</v>
      </c>
      <c r="I5" s="114">
        <v>-2.48</v>
      </c>
      <c r="J5" s="114"/>
      <c r="K5" s="111" t="s">
        <v>37</v>
      </c>
      <c r="L5" s="114">
        <v>-3.42</v>
      </c>
      <c r="P5" t="s">
        <v>37</v>
      </c>
      <c r="Q5" s="38">
        <v>-10.787000000000001</v>
      </c>
      <c r="R5" s="38"/>
      <c r="S5" t="s">
        <v>37</v>
      </c>
      <c r="T5" s="38">
        <v>-12.771000000000001</v>
      </c>
      <c r="V5" t="s">
        <v>37</v>
      </c>
      <c r="W5" s="38">
        <v>-14.93</v>
      </c>
      <c r="X5" s="38"/>
      <c r="Y5" t="s">
        <v>37</v>
      </c>
      <c r="Z5" s="38">
        <v>-14.670999999999999</v>
      </c>
      <c r="AC5" s="35">
        <v>0.05</v>
      </c>
      <c r="AD5">
        <f>+IF('Seismic Displacement_Crustal'!$B$9&lt;=0.7,1-NORMSDIST('Model Coefficients_Crustal'!$B$5+'Model Coefficients_Crustal'!$B$6*LN(AC5)+'Model Coefficients_Crustal'!$B$7*LN(AC5)^2+'Model Coefficients_Crustal'!$B$8*'Seismic Displacement_Crustal'!$B$9*LN(AC5)+'Model Coefficients_Crustal'!$B$9*'Seismic Displacement_Crustal'!$B$9+'Model Coefficients_Crustal'!$B$10*LN('Seismic Displacement_Crustal'!$B$12)),1-NORMSDIST('Model Coefficients_Crustal'!$E$5+'Model Coefficients_Crustal'!$E$6*LN(AC5)+'Model Coefficients_Crustal'!$E$7*LN(AC5)^2+'Model Coefficients_Crustal'!$E$8*'Seismic Displacement_Crustal'!$B$9*LN(AC5)+'Model Coefficients_Crustal'!$E$9*'Seismic Displacement_Crustal'!$B$9+'Model Coefficients_Crustal'!$E$10*LN('Seismic Displacement_Crustal'!$B$12)))</f>
        <v>1.4510614931850796E-13</v>
      </c>
      <c r="AE5">
        <f>+IF('Seismic Displacement_Crustal'!$B$9&lt;=0.7,1-NORMSDIST('Model Coefficients_Crustal'!$I$5+'Model Coefficients_Crustal'!$I$6*LN(AC5)+'Model Coefficients_Crustal'!$I$7*LN(AC5)^2+'Model Coefficients_Crustal'!$I$8*'Seismic Displacement_Crustal'!$B$9*LN(AC5)+'Model Coefficients_Crustal'!$I$9*'Seismic Displacement_Crustal'!$B$9+'Model Coefficients_Crustal'!$I$10*LN('Seismic Displacement_Crustal'!$B$12)),1-NORMSDIST('Model Coefficients_Crustal'!$L$5+'Model Coefficients_Crustal'!$L$6*LN(AC5)+'Model Coefficients_Crustal'!$L$7*LN(AC5)^2+'Model Coefficients_Crustal'!$L$8*'Seismic Displacement_Crustal'!$B$9*LN(AC5)+'Model Coefficients_Crustal'!$L$9*'Seismic Displacement_Crustal'!$B$9+'Model Coefficients_Crustal'!$L$10*LN('Seismic Displacement_Crustal'!$B$12)))</f>
        <v>1.8129941992128806E-13</v>
      </c>
      <c r="AF5" s="113">
        <f>+(IF('Seismic Displacement_Crustal'!$B$9&lt;=0.7,1+EXP($Q$5+$Q$6*LN(AC5)+$Q$7*LN('Seismic Displacement_Crustal'!$B$14)+$Q$8*'Seismic Displacement_Crustal'!$B$9+$Q$9*LN('Seismic Displacement_Crustal'!$B$12)),1+EXP($T$5+$T$6*LN(AC5)+$T$7*LN('Seismic Displacement_Crustal'!$B$14)+$T$8*'Seismic Displacement_Crustal'!$B$9+$T$9*LN('Seismic Displacement_Crustal'!$B$12))))^-1</f>
        <v>4.5671184490018597E-8</v>
      </c>
      <c r="AG5">
        <f>+(IF('Seismic Displacement_Crustal'!$B$9&lt;=0.7,1+EXP($W$5+$W$6*LN(AC5)+$W$7*LN('Seismic Displacement_Crustal'!$B$14)+$W$8*'Seismic Displacement_Crustal'!$B$9+$W$9*LN('Seismic Displacement_Crustal'!$B$12)),1+EXP($Z$5+$Z$6*LN(AC5)+$Z$7*LN('Seismic Displacement_Crustal'!$B$14)+$Z$8*'Seismic Displacement_Crustal'!$B$9+$Z$9*LN('Seismic Displacement_Crustal'!$B$12))))^-1</f>
        <v>1.4397831806287562E-8</v>
      </c>
    </row>
    <row r="6" spans="1:33">
      <c r="A6" s="111" t="s">
        <v>38</v>
      </c>
      <c r="B6" s="114">
        <v>-2.98</v>
      </c>
      <c r="C6" s="114"/>
      <c r="D6" s="111" t="s">
        <v>38</v>
      </c>
      <c r="E6" s="114">
        <v>-4.95</v>
      </c>
      <c r="F6" s="114"/>
      <c r="G6" s="114"/>
      <c r="H6" s="111" t="s">
        <v>38</v>
      </c>
      <c r="I6" s="114">
        <v>-2.97</v>
      </c>
      <c r="J6" s="114"/>
      <c r="K6" s="111" t="s">
        <v>38</v>
      </c>
      <c r="L6" s="114">
        <v>-4.93</v>
      </c>
      <c r="P6" t="s">
        <v>38</v>
      </c>
      <c r="Q6" s="38">
        <v>-8.7170000000000005</v>
      </c>
      <c r="R6" s="38"/>
      <c r="S6" t="s">
        <v>38</v>
      </c>
      <c r="T6" s="38">
        <v>-9.9789999999999992</v>
      </c>
      <c r="V6" t="s">
        <v>38</v>
      </c>
      <c r="W6" s="38">
        <v>-10.382999999999999</v>
      </c>
      <c r="X6" s="38"/>
      <c r="Y6" t="s">
        <v>38</v>
      </c>
      <c r="Z6" s="38">
        <v>-10.489000000000001</v>
      </c>
      <c r="AC6" s="35">
        <v>7.0000000000000007E-2</v>
      </c>
      <c r="AD6">
        <f>+IF('Seismic Displacement_Crustal'!$B$9&lt;=0.7,1-NORMSDIST('Model Coefficients_Crustal'!$B$5+'Model Coefficients_Crustal'!$B$6*LN(AC6)+'Model Coefficients_Crustal'!$B$7*LN(AC6)^2+'Model Coefficients_Crustal'!$B$8*'Seismic Displacement_Crustal'!$B$9*LN(AC6)+'Model Coefficients_Crustal'!$B$9*'Seismic Displacement_Crustal'!$B$9+'Model Coefficients_Crustal'!$B$10*LN('Seismic Displacement_Crustal'!$B$12)),1-NORMSDIST('Model Coefficients_Crustal'!$E$5+'Model Coefficients_Crustal'!$E$6*LN(AC6)+'Model Coefficients_Crustal'!$E$7*LN(AC6)^2+'Model Coefficients_Crustal'!$E$8*'Seismic Displacement_Crustal'!$B$9*LN(AC6)+'Model Coefficients_Crustal'!$E$9*'Seismic Displacement_Crustal'!$B$9+'Model Coefficients_Crustal'!$E$10*LN('Seismic Displacement_Crustal'!$B$12)))</f>
        <v>7.5168649082968386E-11</v>
      </c>
      <c r="AE6">
        <f>+IF('Seismic Displacement_Crustal'!$B$9&lt;=0.7,1-NORMSDIST('Model Coefficients_Crustal'!$I$5+'Model Coefficients_Crustal'!$I$6*LN(AC6)+'Model Coefficients_Crustal'!$I$7*LN(AC6)^2+'Model Coefficients_Crustal'!$I$8*'Seismic Displacement_Crustal'!$B$9*LN(AC6)+'Model Coefficients_Crustal'!$I$9*'Seismic Displacement_Crustal'!$B$9+'Model Coefficients_Crustal'!$I$10*LN('Seismic Displacement_Crustal'!$B$12)),1-NORMSDIST('Model Coefficients_Crustal'!$L$5+'Model Coefficients_Crustal'!$L$6*LN(AC6)+'Model Coefficients_Crustal'!$L$7*LN(AC6)^2+'Model Coefficients_Crustal'!$L$8*'Seismic Displacement_Crustal'!$B$9*LN(AC6)+'Model Coefficients_Crustal'!$L$9*'Seismic Displacement_Crustal'!$B$9+'Model Coefficients_Crustal'!$L$10*LN('Seismic Displacement_Crustal'!$B$12)))</f>
        <v>9.0450757994631203E-11</v>
      </c>
      <c r="AF6" s="113">
        <f>+(IF('Seismic Displacement_Crustal'!$B$9&lt;=0.7,1+EXP($Q$5+$Q$6*LN(AC6)+$Q$7*LN('Seismic Displacement_Crustal'!$B$14)+$Q$8*'Seismic Displacement_Crustal'!$B$9+$Q$9*LN('Seismic Displacement_Crustal'!$B$12)),1+EXP($T$5+$T$6*LN(AC6)+$T$7*LN('Seismic Displacement_Crustal'!$B$14)+$T$8*'Seismic Displacement_Crustal'!$B$9+$T$9*LN('Seismic Displacement_Crustal'!$B$12))))^-1</f>
        <v>8.5790660115195643E-7</v>
      </c>
      <c r="AG6">
        <f>+(IF('Seismic Displacement_Crustal'!$B$9&lt;=0.7,1+EXP($W$5+$W$6*LN(AC6)+$W$7*LN('Seismic Displacement_Crustal'!$B$14)+$W$8*'Seismic Displacement_Crustal'!$B$9+$W$9*LN('Seismic Displacement_Crustal'!$B$12)),1+EXP($Z$5+$Z$6*LN(AC6)+$Z$7*LN('Seismic Displacement_Crustal'!$B$14)+$Z$8*'Seismic Displacement_Crustal'!$B$9+$Z$9*LN('Seismic Displacement_Crustal'!$B$12))))^-1</f>
        <v>4.7374461980909162E-7</v>
      </c>
    </row>
    <row r="7" spans="1:33">
      <c r="A7" s="111" t="s">
        <v>39</v>
      </c>
      <c r="B7" s="114">
        <v>-0.12</v>
      </c>
      <c r="C7" s="114"/>
      <c r="D7" s="111" t="s">
        <v>39</v>
      </c>
      <c r="E7" s="114">
        <v>-0.3</v>
      </c>
      <c r="F7" s="114"/>
      <c r="G7" s="114"/>
      <c r="H7" s="111" t="s">
        <v>39</v>
      </c>
      <c r="I7" s="114">
        <v>-0.12</v>
      </c>
      <c r="J7" s="114"/>
      <c r="K7" s="111" t="s">
        <v>39</v>
      </c>
      <c r="L7" s="114">
        <v>-0.3</v>
      </c>
      <c r="P7" t="s">
        <v>39</v>
      </c>
      <c r="Q7" s="38">
        <v>1.66</v>
      </c>
      <c r="R7" s="38"/>
      <c r="S7" t="s">
        <v>39</v>
      </c>
      <c r="T7" s="38">
        <v>2.286</v>
      </c>
      <c r="V7" t="s">
        <v>39</v>
      </c>
      <c r="W7" s="38">
        <v>1.9710000000000001</v>
      </c>
      <c r="X7" s="38"/>
      <c r="Y7" t="s">
        <v>39</v>
      </c>
      <c r="Z7" s="38">
        <v>2.222</v>
      </c>
      <c r="AC7" s="35">
        <v>0.1</v>
      </c>
      <c r="AD7">
        <f>+IF('Seismic Displacement_Crustal'!$B$9&lt;=0.7,1-NORMSDIST('Model Coefficients_Crustal'!$B$5+'Model Coefficients_Crustal'!$B$6*LN(AC7)+'Model Coefficients_Crustal'!$B$7*LN(AC7)^2+'Model Coefficients_Crustal'!$B$8*'Seismic Displacement_Crustal'!$B$9*LN(AC7)+'Model Coefficients_Crustal'!$B$9*'Seismic Displacement_Crustal'!$B$9+'Model Coefficients_Crustal'!$B$10*LN('Seismic Displacement_Crustal'!$B$12)),1-NORMSDIST('Model Coefficients_Crustal'!$E$5+'Model Coefficients_Crustal'!$E$6*LN(AC7)+'Model Coefficients_Crustal'!$E$7*LN(AC7)^2+'Model Coefficients_Crustal'!$E$8*'Seismic Displacement_Crustal'!$B$9*LN(AC7)+'Model Coefficients_Crustal'!$E$9*'Seismic Displacement_Crustal'!$B$9+'Model Coefficients_Crustal'!$E$10*LN('Seismic Displacement_Crustal'!$B$12)))</f>
        <v>2.8511521477092572E-8</v>
      </c>
      <c r="AE7">
        <f>+IF('Seismic Displacement_Crustal'!$B$9&lt;=0.7,1-NORMSDIST('Model Coefficients_Crustal'!$I$5+'Model Coefficients_Crustal'!$I$6*LN(AC7)+'Model Coefficients_Crustal'!$I$7*LN(AC7)^2+'Model Coefficients_Crustal'!$I$8*'Seismic Displacement_Crustal'!$B$9*LN(AC7)+'Model Coefficients_Crustal'!$I$9*'Seismic Displacement_Crustal'!$B$9+'Model Coefficients_Crustal'!$I$10*LN('Seismic Displacement_Crustal'!$B$12)),1-NORMSDIST('Model Coefficients_Crustal'!$L$5+'Model Coefficients_Crustal'!$L$6*LN(AC7)+'Model Coefficients_Crustal'!$L$7*LN(AC7)^2+'Model Coefficients_Crustal'!$L$8*'Seismic Displacement_Crustal'!$B$9*LN(AC7)+'Model Coefficients_Crustal'!$L$9*'Seismic Displacement_Crustal'!$B$9+'Model Coefficients_Crustal'!$L$10*LN('Seismic Displacement_Crustal'!$B$12)))</f>
        <v>3.3064977200680801E-8</v>
      </c>
      <c r="AF7" s="113">
        <f>+(IF('Seismic Displacement_Crustal'!$B$9&lt;=0.7,1+EXP($Q$5+$Q$6*LN(AC7)+$Q$7*LN('Seismic Displacement_Crustal'!$B$14)+$Q$8*'Seismic Displacement_Crustal'!$B$9+$Q$9*LN('Seismic Displacement_Crustal'!$B$12)),1+EXP($T$5+$T$6*LN(AC7)+$T$7*LN('Seismic Displacement_Crustal'!$B$14)+$T$8*'Seismic Displacement_Crustal'!$B$9+$T$9*LN('Seismic Displacement_Crustal'!$B$12))))^-1</f>
        <v>1.9218187263183138E-5</v>
      </c>
      <c r="AG7">
        <f>+(IF('Seismic Displacement_Crustal'!$B$9&lt;=0.7,1+EXP($W$5+$W$6*LN(AC7)+$W$7*LN('Seismic Displacement_Crustal'!$B$14)+$W$8*'Seismic Displacement_Crustal'!$B$9+$W$9*LN('Seismic Displacement_Crustal'!$B$12)),1+EXP($Z$5+$Z$6*LN(AC7)+$Z$7*LN('Seismic Displacement_Crustal'!$B$14)+$Z$8*'Seismic Displacement_Crustal'!$B$9+$Z$9*LN('Seismic Displacement_Crustal'!$B$12))))^-1</f>
        <v>1.9225745869196843E-5</v>
      </c>
    </row>
    <row r="8" spans="1:33">
      <c r="A8" s="111" t="s">
        <v>40</v>
      </c>
      <c r="B8" s="114">
        <v>-0.71</v>
      </c>
      <c r="C8" s="114"/>
      <c r="D8" s="111" t="s">
        <v>40</v>
      </c>
      <c r="E8" s="114">
        <v>-0.33</v>
      </c>
      <c r="F8" s="114"/>
      <c r="G8" s="114"/>
      <c r="H8" s="111" t="s">
        <v>40</v>
      </c>
      <c r="I8" s="114">
        <v>-0.72</v>
      </c>
      <c r="J8" s="114"/>
      <c r="K8" s="111" t="s">
        <v>40</v>
      </c>
      <c r="L8" s="114">
        <v>-0.35</v>
      </c>
      <c r="P8" t="s">
        <v>40</v>
      </c>
      <c r="Q8" s="38">
        <v>3.15</v>
      </c>
      <c r="R8" s="38"/>
      <c r="S8" t="s">
        <v>40</v>
      </c>
      <c r="T8" s="38">
        <v>-4.9649999999999999</v>
      </c>
      <c r="V8" t="s">
        <v>40</v>
      </c>
      <c r="W8" s="38">
        <v>3.7629999999999999</v>
      </c>
      <c r="X8" s="38"/>
      <c r="Y8" t="s">
        <v>40</v>
      </c>
      <c r="Z8" s="38">
        <v>-4.7590000000000003</v>
      </c>
      <c r="AC8" s="35">
        <v>0.15</v>
      </c>
      <c r="AD8">
        <f>+IF('Seismic Displacement_Crustal'!$B$9&lt;=0.7,1-NORMSDIST('Model Coefficients_Crustal'!$B$5+'Model Coefficients_Crustal'!$B$6*LN(AC8)+'Model Coefficients_Crustal'!$B$7*LN(AC8)^2+'Model Coefficients_Crustal'!$B$8*'Seismic Displacement_Crustal'!$B$9*LN(AC8)+'Model Coefficients_Crustal'!$B$9*'Seismic Displacement_Crustal'!$B$9+'Model Coefficients_Crustal'!$B$10*LN('Seismic Displacement_Crustal'!$B$12)),1-NORMSDIST('Model Coefficients_Crustal'!$E$5+'Model Coefficients_Crustal'!$E$6*LN(AC8)+'Model Coefficients_Crustal'!$E$7*LN(AC8)^2+'Model Coefficients_Crustal'!$E$8*'Seismic Displacement_Crustal'!$B$9*LN(AC8)+'Model Coefficients_Crustal'!$E$9*'Seismic Displacement_Crustal'!$B$9+'Model Coefficients_Crustal'!$E$10*LN('Seismic Displacement_Crustal'!$B$12)))</f>
        <v>9.3443532399595242E-6</v>
      </c>
      <c r="AE8">
        <f>+IF('Seismic Displacement_Crustal'!$B$9&lt;=0.7,1-NORMSDIST('Model Coefficients_Crustal'!$I$5+'Model Coefficients_Crustal'!$I$6*LN(AC8)+'Model Coefficients_Crustal'!$I$7*LN(AC8)^2+'Model Coefficients_Crustal'!$I$8*'Seismic Displacement_Crustal'!$B$9*LN(AC8)+'Model Coefficients_Crustal'!$I$9*'Seismic Displacement_Crustal'!$B$9+'Model Coefficients_Crustal'!$I$10*LN('Seismic Displacement_Crustal'!$B$12)),1-NORMSDIST('Model Coefficients_Crustal'!$L$5+'Model Coefficients_Crustal'!$L$6*LN(AC8)+'Model Coefficients_Crustal'!$L$7*LN(AC8)^2+'Model Coefficients_Crustal'!$L$8*'Seismic Displacement_Crustal'!$B$9*LN(AC8)+'Model Coefficients_Crustal'!$L$9*'Seismic Displacement_Crustal'!$B$9+'Model Coefficients_Crustal'!$L$10*LN('Seismic Displacement_Crustal'!$B$12)))</f>
        <v>1.0428100135517759E-5</v>
      </c>
      <c r="AF8" s="113">
        <f>+(IF('Seismic Displacement_Crustal'!$B$9&lt;=0.7,1+EXP($Q$5+$Q$6*LN(AC8)+$Q$7*LN('Seismic Displacement_Crustal'!$B$14)+$Q$8*'Seismic Displacement_Crustal'!$B$9+$Q$9*LN('Seismic Displacement_Crustal'!$B$12)),1+EXP($T$5+$T$6*LN(AC8)+$T$7*LN('Seismic Displacement_Crustal'!$B$14)+$T$8*'Seismic Displacement_Crustal'!$B$9+$T$9*LN('Seismic Displacement_Crustal'!$B$12))))^-1</f>
        <v>6.5829761751765676E-4</v>
      </c>
      <c r="AG8">
        <f>+(IF('Seismic Displacement_Crustal'!$B$9&lt;=0.7,1+EXP($W$5+$W$6*LN(AC8)+$W$7*LN('Seismic Displacement_Crustal'!$B$14)+$W$8*'Seismic Displacement_Crustal'!$B$9+$W$9*LN('Seismic Displacement_Crustal'!$B$12)),1+EXP($Z$5+$Z$6*LN(AC8)+$Z$7*LN('Seismic Displacement_Crustal'!$B$14)+$Z$8*'Seismic Displacement_Crustal'!$B$9+$Z$9*LN('Seismic Displacement_Crustal'!$B$12))))^-1</f>
        <v>1.2932576965862775E-3</v>
      </c>
    </row>
    <row r="9" spans="1:33">
      <c r="A9" s="111" t="s">
        <v>42</v>
      </c>
      <c r="B9" s="114">
        <v>1.69</v>
      </c>
      <c r="C9" s="114"/>
      <c r="D9" s="111" t="s">
        <v>42</v>
      </c>
      <c r="E9" s="114">
        <v>-0.62</v>
      </c>
      <c r="F9" s="114"/>
      <c r="G9" s="114"/>
      <c r="H9" s="111" t="s">
        <v>42</v>
      </c>
      <c r="I9" s="114">
        <v>1.7</v>
      </c>
      <c r="J9" s="114"/>
      <c r="K9" s="111" t="s">
        <v>42</v>
      </c>
      <c r="L9" s="114">
        <v>-0.62</v>
      </c>
      <c r="P9" t="s">
        <v>42</v>
      </c>
      <c r="Q9" s="38">
        <v>7.56</v>
      </c>
      <c r="R9" s="38"/>
      <c r="S9" t="s">
        <v>42</v>
      </c>
      <c r="T9" s="38">
        <v>4.8170000000000002</v>
      </c>
      <c r="V9" t="s">
        <v>42</v>
      </c>
      <c r="W9" s="38">
        <v>8.8119999999999994</v>
      </c>
      <c r="X9" s="38"/>
      <c r="Y9" t="s">
        <v>42</v>
      </c>
      <c r="Z9" s="38">
        <v>5.5490000000000004</v>
      </c>
      <c r="AC9" s="35">
        <v>0.2</v>
      </c>
      <c r="AD9">
        <f>+IF('Seismic Displacement_Crustal'!$B$9&lt;=0.7,1-NORMSDIST('Model Coefficients_Crustal'!$B$5+'Model Coefficients_Crustal'!$B$6*LN(AC9)+'Model Coefficients_Crustal'!$B$7*LN(AC9)^2+'Model Coefficients_Crustal'!$B$8*'Seismic Displacement_Crustal'!$B$9*LN(AC9)+'Model Coefficients_Crustal'!$B$9*'Seismic Displacement_Crustal'!$B$9+'Model Coefficients_Crustal'!$B$10*LN('Seismic Displacement_Crustal'!$B$12)),1-NORMSDIST('Model Coefficients_Crustal'!$E$5+'Model Coefficients_Crustal'!$E$6*LN(AC9)+'Model Coefficients_Crustal'!$E$7*LN(AC9)^2+'Model Coefficients_Crustal'!$E$8*'Seismic Displacement_Crustal'!$B$9*LN(AC9)+'Model Coefficients_Crustal'!$E$9*'Seismic Displacement_Crustal'!$B$9+'Model Coefficients_Crustal'!$E$10*LN('Seismic Displacement_Crustal'!$B$12)))</f>
        <v>2.8909896079665209E-4</v>
      </c>
      <c r="AE9">
        <f>+IF('Seismic Displacement_Crustal'!$B$9&lt;=0.7,1-NORMSDIST('Model Coefficients_Crustal'!$I$5+'Model Coefficients_Crustal'!$I$6*LN(AC9)+'Model Coefficients_Crustal'!$I$7*LN(AC9)^2+'Model Coefficients_Crustal'!$I$8*'Seismic Displacement_Crustal'!$B$9*LN(AC9)+'Model Coefficients_Crustal'!$I$9*'Seismic Displacement_Crustal'!$B$9+'Model Coefficients_Crustal'!$I$10*LN('Seismic Displacement_Crustal'!$B$12)),1-NORMSDIST('Model Coefficients_Crustal'!$L$5+'Model Coefficients_Crustal'!$L$6*LN(AC9)+'Model Coefficients_Crustal'!$L$7*LN(AC9)^2+'Model Coefficients_Crustal'!$L$8*'Seismic Displacement_Crustal'!$B$9*LN(AC9)+'Model Coefficients_Crustal'!$L$9*'Seismic Displacement_Crustal'!$B$9+'Model Coefficients_Crustal'!$L$10*LN('Seismic Displacement_Crustal'!$B$12)))</f>
        <v>3.1472855039915704E-4</v>
      </c>
      <c r="AF9" s="113">
        <f>+(IF('Seismic Displacement_Crustal'!$B$9&lt;=0.7,1+EXP($Q$5+$Q$6*LN(AC9)+$Q$7*LN('Seismic Displacement_Crustal'!$B$14)+$Q$8*'Seismic Displacement_Crustal'!$B$9+$Q$9*LN('Seismic Displacement_Crustal'!$B$12)),1+EXP($T$5+$T$6*LN(AC9)+$T$7*LN('Seismic Displacement_Crustal'!$B$14)+$T$8*'Seismic Displacement_Crustal'!$B$9+$T$9*LN('Seismic Displacement_Crustal'!$B$12))))^-1</f>
        <v>8.0223412278110032E-3</v>
      </c>
      <c r="AG9">
        <f>+(IF('Seismic Displacement_Crustal'!$B$9&lt;=0.7,1+EXP($W$5+$W$6*LN(AC9)+$W$7*LN('Seismic Displacement_Crustal'!$B$14)+$W$8*'Seismic Displacement_Crustal'!$B$9+$W$9*LN('Seismic Displacement_Crustal'!$B$12)),1+EXP($Z$5+$Z$6*LN(AC9)+$Z$7*LN('Seismic Displacement_Crustal'!$B$14)+$Z$8*'Seismic Displacement_Crustal'!$B$9+$Z$9*LN('Seismic Displacement_Crustal'!$B$12))))^-1</f>
        <v>2.503092127415428E-2</v>
      </c>
    </row>
    <row r="10" spans="1:33">
      <c r="A10" s="111" t="s">
        <v>43</v>
      </c>
      <c r="B10" s="114">
        <v>2.76</v>
      </c>
      <c r="C10" s="114"/>
      <c r="D10" s="111" t="s">
        <v>43</v>
      </c>
      <c r="E10" s="114">
        <v>2.85</v>
      </c>
      <c r="F10" s="114"/>
      <c r="G10" s="114"/>
      <c r="H10" s="111" t="s">
        <v>43</v>
      </c>
      <c r="I10" s="114">
        <v>2.78</v>
      </c>
      <c r="J10" s="114"/>
      <c r="K10" s="111" t="s">
        <v>43</v>
      </c>
      <c r="L10" s="114">
        <v>2.86</v>
      </c>
      <c r="P10"/>
      <c r="Q10" s="38"/>
      <c r="R10" s="38"/>
      <c r="S10"/>
      <c r="T10" s="38"/>
      <c r="AC10" s="35">
        <v>0.3</v>
      </c>
      <c r="AD10">
        <f>+IF('Seismic Displacement_Crustal'!$B$9&lt;=0.7,1-NORMSDIST('Model Coefficients_Crustal'!$B$5+'Model Coefficients_Crustal'!$B$6*LN(AC10)+'Model Coefficients_Crustal'!$B$7*LN(AC10)^2+'Model Coefficients_Crustal'!$B$8*'Seismic Displacement_Crustal'!$B$9*LN(AC10)+'Model Coefficients_Crustal'!$B$9*'Seismic Displacement_Crustal'!$B$9+'Model Coefficients_Crustal'!$B$10*LN('Seismic Displacement_Crustal'!$B$12)),1-NORMSDIST('Model Coefficients_Crustal'!$E$5+'Model Coefficients_Crustal'!$E$6*LN(AC10)+'Model Coefficients_Crustal'!$E$7*LN(AC10)^2+'Model Coefficients_Crustal'!$E$8*'Seismic Displacement_Crustal'!$B$9*LN(AC10)+'Model Coefficients_Crustal'!$E$9*'Seismic Displacement_Crustal'!$B$9+'Model Coefficients_Crustal'!$E$10*LN('Seismic Displacement_Crustal'!$B$12)))</f>
        <v>1.2996938278033721E-2</v>
      </c>
      <c r="AE10">
        <f>+IF('Seismic Displacement_Crustal'!$B$9&lt;=0.7,1-NORMSDIST('Model Coefficients_Crustal'!$I$5+'Model Coefficients_Crustal'!$I$6*LN(AC10)+'Model Coefficients_Crustal'!$I$7*LN(AC10)^2+'Model Coefficients_Crustal'!$I$8*'Seismic Displacement_Crustal'!$B$9*LN(AC10)+'Model Coefficients_Crustal'!$I$9*'Seismic Displacement_Crustal'!$B$9+'Model Coefficients_Crustal'!$I$10*LN('Seismic Displacement_Crustal'!$B$12)),1-NORMSDIST('Model Coefficients_Crustal'!$L$5+'Model Coefficients_Crustal'!$L$6*LN(AC10)+'Model Coefficients_Crustal'!$L$7*LN(AC10)^2+'Model Coefficients_Crustal'!$L$8*'Seismic Displacement_Crustal'!$B$9*LN(AC10)+'Model Coefficients_Crustal'!$L$9*'Seismic Displacement_Crustal'!$B$9+'Model Coefficients_Crustal'!$L$10*LN('Seismic Displacement_Crustal'!$B$12)))</f>
        <v>1.3717107794032124E-2</v>
      </c>
      <c r="AF10" s="113">
        <f>+(IF('Seismic Displacement_Crustal'!$B$9&lt;=0.7,1+EXP($Q$5+$Q$6*LN(AC10)+$Q$7*LN('Seismic Displacement_Crustal'!$B$14)+$Q$8*'Seismic Displacement_Crustal'!$B$9+$Q$9*LN('Seismic Displacement_Crustal'!$B$12)),1+EXP($T$5+$T$6*LN(AC10)+$T$7*LN('Seismic Displacement_Crustal'!$B$14)+$T$8*'Seismic Displacement_Crustal'!$B$9+$T$9*LN('Seismic Displacement_Crustal'!$B$12))))^-1</f>
        <v>0.21703473303084964</v>
      </c>
      <c r="AG10">
        <f>+(IF('Seismic Displacement_Crustal'!$B$9&lt;=0.7,1+EXP($W$5+$W$6*LN(AC10)+$W$7*LN('Seismic Displacement_Crustal'!$B$14)+$W$8*'Seismic Displacement_Crustal'!$B$9+$W$9*LN('Seismic Displacement_Crustal'!$B$12)),1+EXP($Z$5+$Z$6*LN(AC10)+$Z$7*LN('Seismic Displacement_Crustal'!$B$14)+$Z$8*'Seismic Displacement_Crustal'!$B$9+$Z$9*LN('Seismic Displacement_Crustal'!$B$12))))^-1</f>
        <v>0.63359028790314509</v>
      </c>
    </row>
    <row r="11" spans="1:33">
      <c r="A11" s="115">
        <f>+IF('Seismic Displacement_Crustal'!B9&lt;=0.7,1-NORMSDIST('Model Coefficients_Crustal'!B5+'Model Coefficients_Crustal'!B6*LN('Seismic Displacement_Crustal'!B8)+'Model Coefficients_Crustal'!B7*LN('Seismic Displacement_Crustal'!B8)^2+'Model Coefficients_Crustal'!B8*'Seismic Displacement_Crustal'!B9*LN('Seismic Displacement_Crustal'!B8)+'Model Coefficients_Crustal'!B9*'Seismic Displacement_Crustal'!B9+'Model Coefficients_Crustal'!B10*LN('Seismic Displacement_Crustal'!B12)),1-NORMSDIST('Model Coefficients_Crustal'!E5+'Model Coefficients_Crustal'!E6*LN('Seismic Displacement_Crustal'!B8)+'Model Coefficients_Crustal'!E7*LN('Seismic Displacement_Crustal'!B8)^2+'Model Coefficients_Crustal'!E8*'Seismic Displacement_Crustal'!B9*LN('Seismic Displacement_Crustal'!B8)+'Model Coefficients_Crustal'!E9*'Seismic Displacement_Crustal'!B9+'Model Coefficients_Crustal'!E10*LN('Seismic Displacement_Crustal'!B12)))</f>
        <v>2.5900698616210249E-4</v>
      </c>
      <c r="B11" s="114"/>
      <c r="C11" s="114"/>
      <c r="D11" s="111"/>
      <c r="E11" s="114"/>
      <c r="F11" s="111"/>
      <c r="G11" s="114"/>
      <c r="H11" s="111">
        <f>+IF('Seismic Displacement_Crustal'!B9&lt;=0.7,1-NORMSDIST('Model Coefficients_Crustal'!I5+'Model Coefficients_Crustal'!I6*LN('Seismic Displacement_Crustal'!B8)+'Model Coefficients_Crustal'!I7*LN('Seismic Displacement_Crustal'!B8)^2+'Model Coefficients_Crustal'!I8*'Seismic Displacement_Crustal'!B9*LN('Seismic Displacement_Crustal'!B8)+'Model Coefficients_Crustal'!I9*'Seismic Displacement_Crustal'!B9+'Model Coefficients_Crustal'!I10*LN('Seismic Displacement_Crustal'!B12)),1-NORMSDIST('Model Coefficients_Crustal'!L5+'Model Coefficients_Crustal'!L6*LN('Seismic Displacement_Crustal'!B8)+'Model Coefficients_Crustal'!L7*LN('Seismic Displacement_Crustal'!B8)^2+'Model Coefficients_Crustal'!L8*'Seismic Displacement_Crustal'!B9*LN('Seismic Displacement_Crustal'!B8)+'Model Coefficients_Crustal'!L9*'Seismic Displacement_Crustal'!B9+'Model Coefficients_Crustal'!L10*LN('Seismic Displacement_Crustal'!B12)))</f>
        <v>2.8220268008249949E-4</v>
      </c>
      <c r="I11" s="114"/>
      <c r="J11" s="114"/>
      <c r="K11" s="111"/>
      <c r="L11" s="114"/>
      <c r="P11">
        <f>+(IF('Seismic Displacement_Crustal'!B9&lt;=0.7,1+EXP(Q5+Q6*LN('Seismic Displacement_Crustal'!B8)+Q7*LN('Seismic Displacement_Crustal'!B14)+Q8*'Seismic Displacement_Crustal'!B9+Q9*LN('Seismic Displacement_Crustal'!B12)),1+EXP(T5+T6*LN('Seismic Displacement_Crustal'!B8)+T7*LN('Seismic Displacement_Crustal'!B14)+T8*'Seismic Displacement_Crustal'!B9+T9*LN('Seismic Displacement_Crustal'!B12))))^-1</f>
        <v>7.3543698363615646E-3</v>
      </c>
      <c r="Q11" s="38"/>
      <c r="R11" s="38"/>
      <c r="S11"/>
      <c r="T11" s="38"/>
      <c r="V11">
        <f>+(IF('Seismic Displacement_Crustal'!B9&lt;=0.7,1+EXP(W5+W6*LN('Seismic Displacement_Crustal'!B8)+W7*LN('Seismic Displacement_Crustal'!B14)+W8*'Seismic Displacement_Crustal'!B9+W9*LN('Seismic Displacement_Crustal'!B12)),1+EXP(Z5+Z6*LN('Seismic Displacement_Crustal'!B8)+Z7*LN('Seismic Displacement_Crustal'!B14)+Z8*'Seismic Displacement_Crustal'!B9+Z9*LN('Seismic Displacement_Crustal'!B12))))^-1</f>
        <v>2.2606618807549113E-2</v>
      </c>
      <c r="AC11" s="35">
        <v>0.4</v>
      </c>
      <c r="AD11">
        <f>+IF('Seismic Displacement_Crustal'!$B$9&lt;=0.7,1-NORMSDIST('Model Coefficients_Crustal'!$B$5+'Model Coefficients_Crustal'!$B$6*LN(AC11)+'Model Coefficients_Crustal'!$B$7*LN(AC11)^2+'Model Coefficients_Crustal'!$B$8*'Seismic Displacement_Crustal'!$B$9*LN(AC11)+'Model Coefficients_Crustal'!$B$9*'Seismic Displacement_Crustal'!$B$9+'Model Coefficients_Crustal'!$B$10*LN('Seismic Displacement_Crustal'!$B$12)),1-NORMSDIST('Model Coefficients_Crustal'!$E$5+'Model Coefficients_Crustal'!$E$6*LN(AC11)+'Model Coefficients_Crustal'!$E$7*LN(AC11)^2+'Model Coefficients_Crustal'!$E$8*'Seismic Displacement_Crustal'!$B$9*LN(AC11)+'Model Coefficients_Crustal'!$E$9*'Seismic Displacement_Crustal'!$B$9+'Model Coefficients_Crustal'!$E$10*LN('Seismic Displacement_Crustal'!$B$12)))</f>
        <v>9.0109840045496492E-2</v>
      </c>
      <c r="AE11">
        <f>+IF('Seismic Displacement_Crustal'!$B$9&lt;=0.7,1-NORMSDIST('Model Coefficients_Crustal'!$I$5+'Model Coefficients_Crustal'!$I$6*LN(AC11)+'Model Coefficients_Crustal'!$I$7*LN(AC11)^2+'Model Coefficients_Crustal'!$I$8*'Seismic Displacement_Crustal'!$B$9*LN(AC11)+'Model Coefficients_Crustal'!$I$9*'Seismic Displacement_Crustal'!$B$9+'Model Coefficients_Crustal'!$I$10*LN('Seismic Displacement_Crustal'!$B$12)),1-NORMSDIST('Model Coefficients_Crustal'!$L$5+'Model Coefficients_Crustal'!$L$6*LN(AC11)+'Model Coefficients_Crustal'!$L$7*LN(AC11)^2+'Model Coefficients_Crustal'!$L$8*'Seismic Displacement_Crustal'!$B$9*LN(AC11)+'Model Coefficients_Crustal'!$L$9*'Seismic Displacement_Crustal'!$B$9+'Model Coefficients_Crustal'!$L$10*LN('Seismic Displacement_Crustal'!$B$12)))</f>
        <v>9.3334486333267686E-2</v>
      </c>
      <c r="AF11" s="113">
        <f>+(IF('Seismic Displacement_Crustal'!$B$9&lt;=0.7,1+EXP($Q$5+$Q$6*LN(AC11)+$Q$7*LN('Seismic Displacement_Crustal'!$B$14)+$Q$8*'Seismic Displacement_Crustal'!$B$9+$Q$9*LN('Seismic Displacement_Crustal'!$B$12)),1+EXP($T$5+$T$6*LN(AC11)+$T$7*LN('Seismic Displacement_Crustal'!$B$14)+$T$8*'Seismic Displacement_Crustal'!$B$9+$T$9*LN('Seismic Displacement_Crustal'!$B$12))))^-1</f>
        <v>0.77288849676891069</v>
      </c>
      <c r="AG11">
        <f>+(IF('Seismic Displacement_Crustal'!$B$9&lt;=0.7,1+EXP($W$5+$W$6*LN(AC11)+$W$7*LN('Seismic Displacement_Crustal'!$B$14)+$W$8*'Seismic Displacement_Crustal'!$B$9+$W$9*LN('Seismic Displacement_Crustal'!$B$12)),1+EXP($Z$5+$Z$6*LN(AC11)+$Z$7*LN('Seismic Displacement_Crustal'!$B$14)+$Z$8*'Seismic Displacement_Crustal'!$B$9+$Z$9*LN('Seismic Displacement_Crustal'!$B$12))))^-1</f>
        <v>0.97165784147724665</v>
      </c>
    </row>
    <row r="12" spans="1:33">
      <c r="A12" s="111"/>
      <c r="B12" s="111"/>
      <c r="C12" s="111"/>
      <c r="D12" s="111"/>
      <c r="E12" s="111"/>
      <c r="F12" s="111"/>
      <c r="G12" s="111"/>
      <c r="H12" s="111"/>
      <c r="I12" s="111"/>
      <c r="J12" s="111"/>
      <c r="K12" s="111"/>
    </row>
    <row r="13" spans="1:33">
      <c r="A13" s="94" t="s">
        <v>41</v>
      </c>
      <c r="L13" s="131" t="s">
        <v>104</v>
      </c>
      <c r="M13" s="131"/>
      <c r="N13" s="131" t="s">
        <v>105</v>
      </c>
      <c r="O13" s="131"/>
      <c r="P13" s="131"/>
      <c r="Q13" s="131"/>
      <c r="R13" s="131"/>
      <c r="S13" s="131"/>
      <c r="T13" s="131"/>
      <c r="U13" s="131"/>
      <c r="V13" s="131" t="s">
        <v>132</v>
      </c>
      <c r="W13" s="131"/>
    </row>
    <row r="14" spans="1:33">
      <c r="A14" t="s">
        <v>102</v>
      </c>
      <c r="J14" t="s">
        <v>133</v>
      </c>
      <c r="L14" s="111" t="s">
        <v>107</v>
      </c>
      <c r="M14" s="111" t="s">
        <v>103</v>
      </c>
      <c r="N14" s="111" t="s">
        <v>94</v>
      </c>
      <c r="O14" s="111" t="s">
        <v>95</v>
      </c>
      <c r="P14" s="111" t="s">
        <v>96</v>
      </c>
      <c r="Q14" s="111" t="s">
        <v>97</v>
      </c>
      <c r="R14" s="111" t="s">
        <v>94</v>
      </c>
      <c r="S14" s="111" t="s">
        <v>95</v>
      </c>
      <c r="T14" s="111" t="s">
        <v>96</v>
      </c>
      <c r="U14" s="111" t="s">
        <v>97</v>
      </c>
      <c r="V14" s="111" t="s">
        <v>107</v>
      </c>
      <c r="W14" s="111" t="s">
        <v>103</v>
      </c>
      <c r="Z14" s="38" t="s">
        <v>112</v>
      </c>
    </row>
    <row r="15" spans="1:33">
      <c r="I15" t="s">
        <v>71</v>
      </c>
      <c r="J15">
        <f>+IF(AND('Seismic Displacement_Crustal'!B14&lt;1000,'Seismic Displacement_Crustal'!B9&lt;0.1,'Seismic Displacement_Crustal'!B7="Deterministic-Pseudoprobabilistic (EQ8&amp;9)"),1,IF(AND('Seismic Displacement_Crustal'!B14&lt;1000,'Seismic Displacement_Crustal'!B9&gt;=0.1,'Seismic Displacement_Crustal'!B7="Deterministic-Pseudoprobabilistic (EQ8&amp;9)"),2,IF(AND('Seismic Displacement_Crustal'!B14&gt;=0,'Seismic Displacement_Crustal'!B14&lt;150,'Seismic Displacement_Crustal'!B9&lt;0.1,'Seismic Displacement_Crustal'!B15=50,'Seismic Displacement_Crustal'!B7="PulsesD50 (EQ6&amp;7)"),3,IF(AND('Seismic Displacement_Crustal'!B14&gt;=0,'Seismic Displacement_Crustal'!B14&lt;150,'Seismic Displacement_Crustal'!B9&gt;=0.1,'Seismic Displacement_Crustal'!B15=50,'Seismic Displacement_Crustal'!B7="PulsesD50 (EQ6&amp;7)"),4,IF(AND('Seismic Displacement_Crustal'!B14&gt;=0,'Seismic Displacement_Crustal'!B14&lt;150,'Seismic Displacement_Crustal'!B9&lt;0.1,'Seismic Displacement_Crustal'!B15=100,'Seismic Displacement_Crustal'!B7="PulsesD100 (EQ4&amp;5)"),5,IF(AND('Seismic Displacement_Crustal'!B14&gt;=0,'Seismic Displacement_Crustal'!B14&lt;150,'Seismic Displacement_Crustal'!B9&gt;=0.1,'Seismic Displacement_Crustal'!B15=100,'Seismic Displacement_Crustal'!B7="PulsesD100 (EQ4&amp;5)"),6,IF(AND('Seismic Displacement_Crustal'!B14&gt;=150,'Seismic Displacement_Crustal'!B9&lt;0.1,'Seismic Displacement_Crustal'!B15=50,'Seismic Displacement_Crustal'!B7="PulsesD50 (EQ6&amp;7)"),7,IF(AND('Seismic Displacement_Crustal'!B14&gt;=150,'Seismic Displacement_Crustal'!B9&gt;=0.1,'Seismic Displacement_Crustal'!B15=50,'Seismic Displacement_Crustal'!B7="PulsesD50 (EQ6&amp;7)"),8,IF(AND('Seismic Displacement_Crustal'!B14&gt;=150,'Seismic Displacement_Crustal'!B9&lt;0.1,'Seismic Displacement_Crustal'!B15=100,'Seismic Displacement_Crustal'!B7="PulsesD100 (EQ4&amp;5)"),9,IF(AND('Seismic Displacement_Crustal'!B14&gt;=150,'Seismic Displacement_Crustal'!B9&gt;=0.1,'Seismic Displacement_Crustal'!B15=100,'Seismic Displacement_Crustal'!B7="PulsesD100 (EQ4&amp;5)"),10,IF(AND('Seismic Displacement_Crustal'!B9&lt;0.1,'Seismic Displacement_Crustal'!B7="OrdinaryGM (EQ2&amp;3)"),11,IF(AND('Seismic Displacement_Crustal'!B9&gt;=0.1,'Seismic Displacement_Crustal'!B7="OrdinaryGM (EQ2&amp;3)"),12,100))))))))))))</f>
        <v>2</v>
      </c>
      <c r="L15" s="111" t="s">
        <v>108</v>
      </c>
      <c r="M15" s="111" t="s">
        <v>108</v>
      </c>
      <c r="N15" s="111" t="s">
        <v>106</v>
      </c>
      <c r="O15" s="111" t="s">
        <v>106</v>
      </c>
      <c r="P15" s="111" t="s">
        <v>106</v>
      </c>
      <c r="Q15" s="111" t="s">
        <v>106</v>
      </c>
      <c r="R15" s="111" t="s">
        <v>93</v>
      </c>
      <c r="S15" s="111" t="s">
        <v>93</v>
      </c>
      <c r="T15" s="111" t="s">
        <v>93</v>
      </c>
      <c r="U15" s="111" t="s">
        <v>93</v>
      </c>
      <c r="V15" s="111" t="s">
        <v>108</v>
      </c>
      <c r="W15" s="111" t="s">
        <v>108</v>
      </c>
      <c r="Z15" s="38"/>
    </row>
    <row r="16" spans="1:33">
      <c r="A16" s="43" t="s">
        <v>63</v>
      </c>
      <c r="B16" s="43" t="s">
        <v>64</v>
      </c>
      <c r="C16" s="43"/>
      <c r="D16" s="26"/>
      <c r="L16" s="111" t="s">
        <v>72</v>
      </c>
      <c r="M16" s="111" t="s">
        <v>73</v>
      </c>
      <c r="N16" s="111" t="s">
        <v>74</v>
      </c>
      <c r="O16" s="111" t="s">
        <v>75</v>
      </c>
      <c r="P16" s="111" t="s">
        <v>76</v>
      </c>
      <c r="Q16" s="111" t="s">
        <v>77</v>
      </c>
      <c r="R16" s="111" t="s">
        <v>78</v>
      </c>
      <c r="S16" s="111" t="s">
        <v>79</v>
      </c>
      <c r="T16" s="111" t="s">
        <v>80</v>
      </c>
      <c r="U16" s="111" t="s">
        <v>81</v>
      </c>
      <c r="V16" s="111" t="s">
        <v>109</v>
      </c>
      <c r="W16" s="111" t="s">
        <v>110</v>
      </c>
      <c r="Z16" s="38" t="s">
        <v>118</v>
      </c>
    </row>
    <row r="17" spans="1:26">
      <c r="A17" t="s">
        <v>37</v>
      </c>
      <c r="B17" s="38">
        <f>IF($J$15=1,L17,IF($J$15=2,M17,IF($J$15=3,N17,IF($J$15=4,O17,IF($J$15=5,P17,IF($J$15=6,Q17,IF($J$15=7,R17,IF($J$15=8,S17,IF($J$15=9,T17,IF($J$15=10,U17,IF($J$15=11,V17,IF($J$15=12,W17))))))))))))</f>
        <v>-5.8940000000000001</v>
      </c>
      <c r="C17" s="117" t="s">
        <v>185</v>
      </c>
      <c r="D17" s="26"/>
      <c r="K17">
        <v>1</v>
      </c>
      <c r="L17" s="111">
        <f>+IF('Seismic Displacement_Crustal'!B14&lt;115,-4.5511,-4.5511-4.75)</f>
        <v>-4.5510999999999999</v>
      </c>
      <c r="M17" s="111">
        <f>+IF('Seismic Displacement_Crustal'!B14&lt;115,-5.894,-5.894-4.75)</f>
        <v>-5.8940000000000001</v>
      </c>
      <c r="N17" s="111">
        <f>-7.718+0.221</f>
        <v>-7.4969999999999999</v>
      </c>
      <c r="O17" s="111">
        <v>-7.718</v>
      </c>
      <c r="P17" s="111">
        <f>-6.462+0.227-0.4886</f>
        <v>-6.7235999999999994</v>
      </c>
      <c r="Q17" s="111">
        <f>-6.462-0.4886</f>
        <v>-6.9505999999999997</v>
      </c>
      <c r="R17" s="111">
        <f>+N17+7.349</f>
        <v>-0.14799999999999969</v>
      </c>
      <c r="S17" s="111">
        <f>+O17+7.349</f>
        <v>-0.36899999999999977</v>
      </c>
      <c r="T17" s="111">
        <f>+P17+8.715</f>
        <v>1.9914000000000005</v>
      </c>
      <c r="U17" s="111">
        <f>+Q17+8.715</f>
        <v>1.7644000000000002</v>
      </c>
      <c r="V17" s="111">
        <v>-4.6840000000000002</v>
      </c>
      <c r="W17" s="111">
        <v>-5.9809999999999999</v>
      </c>
      <c r="X17" t="s">
        <v>37</v>
      </c>
      <c r="Z17" s="38"/>
    </row>
    <row r="18" spans="1:26">
      <c r="A18" t="s">
        <v>38</v>
      </c>
      <c r="B18" s="38">
        <f t="shared" ref="B18:B27" si="0">IF($J$15=1,L18,IF($J$15=2,M18,IF($J$15=3,N18,IF($J$15=4,O18,IF($J$15=5,P18,IF($J$15=6,Q18,IF($J$15=7,R18,IF($J$15=8,S18,IF($J$15=9,T18,IF($J$15=10,U18,IF($J$15=11,V18,IF($J$15=12,W18))))))))))))</f>
        <v>-2.4910000000000001</v>
      </c>
      <c r="D18" s="38"/>
      <c r="K18">
        <f>+K17+1</f>
        <v>2</v>
      </c>
      <c r="L18" s="111">
        <v>-2.4910000000000001</v>
      </c>
      <c r="M18" s="111">
        <v>-2.4910000000000001</v>
      </c>
      <c r="N18" s="111">
        <v>-2.931</v>
      </c>
      <c r="O18" s="111">
        <v>-2.931</v>
      </c>
      <c r="P18" s="111">
        <v>-2.6320000000000001</v>
      </c>
      <c r="Q18" s="111">
        <v>-2.6320000000000001</v>
      </c>
      <c r="R18" s="111">
        <f t="shared" ref="R18:R27" si="1">+N18</f>
        <v>-2.931</v>
      </c>
      <c r="S18" s="111">
        <f t="shared" ref="S18:S27" si="2">+O18</f>
        <v>-2.931</v>
      </c>
      <c r="T18" s="111">
        <f t="shared" ref="T18:T27" si="3">+P18</f>
        <v>-2.6320000000000001</v>
      </c>
      <c r="U18" s="111">
        <f t="shared" ref="U18:U27" si="4">+Q18</f>
        <v>-2.6320000000000001</v>
      </c>
      <c r="V18" s="111">
        <v>-2.4820000000000002</v>
      </c>
      <c r="W18" s="111">
        <f>+V18</f>
        <v>-2.4820000000000002</v>
      </c>
      <c r="X18" t="s">
        <v>177</v>
      </c>
      <c r="Z18" s="38"/>
    </row>
    <row r="19" spans="1:26">
      <c r="A19" t="s">
        <v>39</v>
      </c>
      <c r="B19" s="38">
        <f t="shared" si="0"/>
        <v>-0.245</v>
      </c>
      <c r="D19" s="38"/>
      <c r="K19">
        <f t="shared" ref="K19:K26" si="5">+K18+1</f>
        <v>3</v>
      </c>
      <c r="L19" s="111">
        <v>-0.245</v>
      </c>
      <c r="M19" s="111">
        <v>-0.245</v>
      </c>
      <c r="N19" s="111">
        <v>-0.31900000000000001</v>
      </c>
      <c r="O19" s="111">
        <v>-0.31900000000000001</v>
      </c>
      <c r="P19" s="111">
        <v>-0.27800000000000002</v>
      </c>
      <c r="Q19" s="111">
        <v>-0.27800000000000002</v>
      </c>
      <c r="R19" s="111">
        <f t="shared" si="1"/>
        <v>-0.31900000000000001</v>
      </c>
      <c r="S19" s="111">
        <f t="shared" si="2"/>
        <v>-0.31900000000000001</v>
      </c>
      <c r="T19" s="111">
        <f t="shared" si="3"/>
        <v>-0.27800000000000002</v>
      </c>
      <c r="U19" s="111">
        <f t="shared" si="4"/>
        <v>-0.27800000000000002</v>
      </c>
      <c r="V19" s="111">
        <v>-0.24399999999999999</v>
      </c>
      <c r="W19" s="111">
        <f t="shared" ref="W19:W22" si="6">+V19</f>
        <v>-0.24399999999999999</v>
      </c>
      <c r="X19" t="s">
        <v>178</v>
      </c>
      <c r="Z19" s="38"/>
    </row>
    <row r="20" spans="1:26">
      <c r="A20" t="s">
        <v>40</v>
      </c>
      <c r="B20" s="38">
        <f t="shared" si="0"/>
        <v>0.34399999999999997</v>
      </c>
      <c r="D20" s="38"/>
      <c r="K20">
        <f t="shared" si="5"/>
        <v>4</v>
      </c>
      <c r="L20" s="111">
        <v>0.34399999999999997</v>
      </c>
      <c r="M20" s="111">
        <v>0.34399999999999997</v>
      </c>
      <c r="N20" s="111">
        <v>0.58399999999999996</v>
      </c>
      <c r="O20" s="111">
        <v>0.58399999999999996</v>
      </c>
      <c r="P20" s="111">
        <v>0.52700000000000002</v>
      </c>
      <c r="Q20" s="111">
        <v>0.52700000000000002</v>
      </c>
      <c r="R20" s="111">
        <f t="shared" si="1"/>
        <v>0.58399999999999996</v>
      </c>
      <c r="S20" s="111">
        <f t="shared" si="2"/>
        <v>0.58399999999999996</v>
      </c>
      <c r="T20" s="111">
        <f t="shared" si="3"/>
        <v>0.52700000000000002</v>
      </c>
      <c r="U20" s="111">
        <f t="shared" si="4"/>
        <v>0.52700000000000002</v>
      </c>
      <c r="V20" s="111">
        <v>0.34399999999999997</v>
      </c>
      <c r="W20" s="111">
        <f t="shared" si="6"/>
        <v>0.34399999999999997</v>
      </c>
      <c r="X20" t="s">
        <v>179</v>
      </c>
      <c r="Z20" t="s">
        <v>113</v>
      </c>
    </row>
    <row r="21" spans="1:26">
      <c r="A21" t="s">
        <v>42</v>
      </c>
      <c r="B21" s="38">
        <f t="shared" si="0"/>
        <v>2.7029999999999998</v>
      </c>
      <c r="D21" s="38"/>
      <c r="K21">
        <f t="shared" si="5"/>
        <v>5</v>
      </c>
      <c r="L21" s="111">
        <v>2.7029999999999998</v>
      </c>
      <c r="M21" s="111">
        <v>2.7029999999999998</v>
      </c>
      <c r="N21" s="111">
        <v>2.2610000000000001</v>
      </c>
      <c r="O21" s="111">
        <v>2.2610000000000001</v>
      </c>
      <c r="P21" s="111">
        <v>1.978</v>
      </c>
      <c r="Q21" s="111">
        <v>1.978</v>
      </c>
      <c r="R21" s="111">
        <f t="shared" si="1"/>
        <v>2.2610000000000001</v>
      </c>
      <c r="S21" s="111">
        <f t="shared" si="2"/>
        <v>2.2610000000000001</v>
      </c>
      <c r="T21" s="111">
        <f t="shared" si="3"/>
        <v>1.978</v>
      </c>
      <c r="U21" s="111">
        <f t="shared" si="4"/>
        <v>1.978</v>
      </c>
      <c r="V21" s="111">
        <v>2.649</v>
      </c>
      <c r="W21" s="111">
        <f t="shared" si="6"/>
        <v>2.649</v>
      </c>
      <c r="X21" t="s">
        <v>180</v>
      </c>
    </row>
    <row r="22" spans="1:26">
      <c r="A22" t="s">
        <v>43</v>
      </c>
      <c r="B22" s="38">
        <f t="shared" si="0"/>
        <v>-8.8999999999999996E-2</v>
      </c>
      <c r="D22" s="38"/>
      <c r="K22">
        <f t="shared" si="5"/>
        <v>6</v>
      </c>
      <c r="L22" s="111">
        <v>-8.8999999999999996E-2</v>
      </c>
      <c r="M22" s="111">
        <v>-8.8999999999999996E-2</v>
      </c>
      <c r="N22" s="111">
        <v>-0.24099999999999999</v>
      </c>
      <c r="O22" s="111">
        <v>-0.24099999999999999</v>
      </c>
      <c r="P22" s="111">
        <v>-0.23300000000000001</v>
      </c>
      <c r="Q22" s="111">
        <v>-0.23300000000000001</v>
      </c>
      <c r="R22" s="111">
        <f t="shared" si="1"/>
        <v>-0.24099999999999999</v>
      </c>
      <c r="S22" s="111">
        <f t="shared" si="2"/>
        <v>-0.24099999999999999</v>
      </c>
      <c r="T22" s="111">
        <f t="shared" si="3"/>
        <v>-0.23300000000000001</v>
      </c>
      <c r="U22" s="111">
        <f t="shared" si="4"/>
        <v>-0.23300000000000001</v>
      </c>
      <c r="V22" s="111">
        <v>-0.09</v>
      </c>
      <c r="W22" s="111">
        <f t="shared" si="6"/>
        <v>-0.09</v>
      </c>
      <c r="X22" t="s">
        <v>181</v>
      </c>
    </row>
    <row r="23" spans="1:26">
      <c r="A23" t="s">
        <v>12</v>
      </c>
      <c r="B23" s="38">
        <f t="shared" si="0"/>
        <v>3.1520000000000001</v>
      </c>
      <c r="C23" t="s">
        <v>186</v>
      </c>
      <c r="J23" t="s">
        <v>111</v>
      </c>
      <c r="K23">
        <f t="shared" si="5"/>
        <v>7</v>
      </c>
      <c r="L23" s="116">
        <v>-9.69</v>
      </c>
      <c r="M23" s="111">
        <v>3.1520000000000001</v>
      </c>
      <c r="N23" s="111">
        <f xml:space="preserve"> 1.031-3.762</f>
        <v>-2.7309999999999999</v>
      </c>
      <c r="O23" s="111">
        <v>1.0309999999999999</v>
      </c>
      <c r="P23" s="111">
        <f>1.069-3.813</f>
        <v>-2.7440000000000002</v>
      </c>
      <c r="Q23" s="111">
        <v>1.069</v>
      </c>
      <c r="R23" s="111">
        <f t="shared" si="1"/>
        <v>-2.7309999999999999</v>
      </c>
      <c r="S23" s="111">
        <f t="shared" si="2"/>
        <v>1.0309999999999999</v>
      </c>
      <c r="T23" s="111">
        <f t="shared" si="3"/>
        <v>-2.7440000000000002</v>
      </c>
      <c r="U23" s="111">
        <f t="shared" si="4"/>
        <v>1.069</v>
      </c>
      <c r="V23" s="111">
        <v>-9.4710000000000001</v>
      </c>
      <c r="W23" s="111">
        <v>3.2229999999999999</v>
      </c>
      <c r="X23" t="s">
        <v>111</v>
      </c>
    </row>
    <row r="24" spans="1:26">
      <c r="A24" t="s">
        <v>44</v>
      </c>
      <c r="B24" s="38">
        <f t="shared" si="0"/>
        <v>0.60699999999999998</v>
      </c>
      <c r="C24" s="26"/>
      <c r="D24" s="38"/>
      <c r="K24">
        <f t="shared" si="5"/>
        <v>8</v>
      </c>
      <c r="L24" s="111">
        <v>0.60699999999999998</v>
      </c>
      <c r="M24" s="111">
        <v>0.60699999999999998</v>
      </c>
      <c r="N24" s="111">
        <v>0.05</v>
      </c>
      <c r="O24" s="111">
        <v>0.05</v>
      </c>
      <c r="P24" s="111">
        <v>0.01</v>
      </c>
      <c r="Q24" s="111">
        <v>0.01</v>
      </c>
      <c r="R24" s="111">
        <f t="shared" si="1"/>
        <v>0.05</v>
      </c>
      <c r="S24" s="111">
        <f t="shared" si="2"/>
        <v>0.05</v>
      </c>
      <c r="T24" s="111">
        <f t="shared" si="3"/>
        <v>0.01</v>
      </c>
      <c r="U24" s="111">
        <f t="shared" si="4"/>
        <v>0.01</v>
      </c>
      <c r="V24" s="111">
        <v>0.60299999999999998</v>
      </c>
      <c r="W24" s="111">
        <f>+V24</f>
        <v>0.60299999999999998</v>
      </c>
      <c r="X24" t="s">
        <v>182</v>
      </c>
    </row>
    <row r="25" spans="1:26">
      <c r="A25" t="s">
        <v>68</v>
      </c>
      <c r="B25" s="38">
        <f t="shared" si="0"/>
        <v>-0.90969999999999995</v>
      </c>
      <c r="C25" t="s">
        <v>187</v>
      </c>
      <c r="D25" s="44"/>
      <c r="E25" s="14"/>
      <c r="H25" s="14"/>
      <c r="J25" t="s">
        <v>92</v>
      </c>
      <c r="K25">
        <f t="shared" si="5"/>
        <v>9</v>
      </c>
      <c r="L25" s="111">
        <v>0</v>
      </c>
      <c r="M25" s="111">
        <v>-0.90969999999999995</v>
      </c>
      <c r="N25" s="111">
        <v>0</v>
      </c>
      <c r="O25" s="111">
        <v>-0.48</v>
      </c>
      <c r="P25" s="111">
        <v>0</v>
      </c>
      <c r="Q25" s="111">
        <v>-0.498</v>
      </c>
      <c r="R25" s="111">
        <f t="shared" si="1"/>
        <v>0</v>
      </c>
      <c r="S25" s="111">
        <f t="shared" si="2"/>
        <v>-0.48</v>
      </c>
      <c r="T25" s="111">
        <f t="shared" si="3"/>
        <v>0</v>
      </c>
      <c r="U25" s="111">
        <f t="shared" si="4"/>
        <v>-0.498</v>
      </c>
      <c r="V25" s="111">
        <v>0</v>
      </c>
      <c r="W25" s="111">
        <v>-0.94499999999999995</v>
      </c>
      <c r="X25" t="s">
        <v>183</v>
      </c>
    </row>
    <row r="26" spans="1:26">
      <c r="A26" t="s">
        <v>82</v>
      </c>
      <c r="B26" s="38">
        <f t="shared" si="0"/>
        <v>0</v>
      </c>
      <c r="C26" t="s">
        <v>188</v>
      </c>
      <c r="J26" t="s">
        <v>69</v>
      </c>
      <c r="K26">
        <f t="shared" si="5"/>
        <v>10</v>
      </c>
      <c r="L26" s="111">
        <f>+IF('Seismic Displacement_Crustal'!B14&lt;115,0,1)</f>
        <v>0</v>
      </c>
      <c r="M26" s="111">
        <f>+IF('Seismic Displacement_Crustal'!B14&lt;115,0,1)</f>
        <v>0</v>
      </c>
      <c r="N26" s="111">
        <v>1.458</v>
      </c>
      <c r="O26" s="111">
        <v>1.458</v>
      </c>
      <c r="P26" s="111">
        <v>1.5469999999999999</v>
      </c>
      <c r="Q26" s="111">
        <v>1.5469999999999999</v>
      </c>
      <c r="R26" s="111">
        <f>+N26-1.433</f>
        <v>2.4999999999999911E-2</v>
      </c>
      <c r="S26" s="111">
        <f>+O26-1.433</f>
        <v>2.4999999999999911E-2</v>
      </c>
      <c r="T26" s="111">
        <f>+P26-1.644</f>
        <v>-9.6999999999999975E-2</v>
      </c>
      <c r="U26" s="111">
        <f>+Q26-1.644</f>
        <v>-9.6999999999999975E-2</v>
      </c>
      <c r="V26" s="111">
        <v>0</v>
      </c>
      <c r="W26" s="111">
        <v>0</v>
      </c>
      <c r="X26" t="s">
        <v>184</v>
      </c>
    </row>
    <row r="27" spans="1:26">
      <c r="A27" s="44" t="s">
        <v>45</v>
      </c>
      <c r="B27" s="38">
        <f t="shared" si="0"/>
        <v>0.73599999999999999</v>
      </c>
      <c r="L27" s="111">
        <v>0.73599999999999999</v>
      </c>
      <c r="M27" s="111">
        <v>0.73599999999999999</v>
      </c>
      <c r="N27" s="111">
        <v>0.54</v>
      </c>
      <c r="O27" s="111">
        <v>0.54</v>
      </c>
      <c r="P27" s="111">
        <v>0.56000000000000005</v>
      </c>
      <c r="Q27" s="111">
        <v>0.56000000000000005</v>
      </c>
      <c r="R27" s="111">
        <f t="shared" si="1"/>
        <v>0.54</v>
      </c>
      <c r="S27" s="111">
        <f t="shared" si="2"/>
        <v>0.54</v>
      </c>
      <c r="T27" s="111">
        <f t="shared" si="3"/>
        <v>0.56000000000000005</v>
      </c>
      <c r="U27" s="111">
        <f t="shared" si="4"/>
        <v>0.56000000000000005</v>
      </c>
      <c r="V27" s="111">
        <v>0.72</v>
      </c>
      <c r="W27" s="111">
        <v>0.72</v>
      </c>
    </row>
    <row r="29" spans="1:26">
      <c r="L29" s="18" t="s">
        <v>125</v>
      </c>
    </row>
    <row r="30" spans="1:26">
      <c r="L30" s="18" t="s">
        <v>91</v>
      </c>
    </row>
    <row r="31" spans="1:26">
      <c r="K31">
        <v>1</v>
      </c>
      <c r="L31" s="111" t="s">
        <v>83</v>
      </c>
      <c r="M31" s="111" t="s">
        <v>84</v>
      </c>
      <c r="N31" s="111" t="s">
        <v>85</v>
      </c>
      <c r="O31" s="111" t="s">
        <v>86</v>
      </c>
    </row>
    <row r="32" spans="1:26">
      <c r="K32">
        <f>+K31+1</f>
        <v>2</v>
      </c>
      <c r="L32" s="111">
        <v>-2.758</v>
      </c>
      <c r="M32" s="111">
        <v>-2.6320000000000001</v>
      </c>
      <c r="N32" s="111">
        <v>-3.0249999999999999</v>
      </c>
      <c r="O32" s="111">
        <v>-2.931</v>
      </c>
    </row>
    <row r="33" spans="11:20">
      <c r="K33">
        <f t="shared" ref="K33:K40" si="7">+K32+1</f>
        <v>3</v>
      </c>
      <c r="L33" s="111">
        <v>-0.28000000000000003</v>
      </c>
      <c r="M33" s="111">
        <v>-0.27800000000000002</v>
      </c>
      <c r="N33" s="111">
        <v>-0.313</v>
      </c>
      <c r="O33" s="111">
        <v>-0.31900000000000001</v>
      </c>
    </row>
    <row r="34" spans="11:20">
      <c r="K34">
        <f t="shared" si="7"/>
        <v>4</v>
      </c>
      <c r="L34" s="111">
        <v>0.52900000000000003</v>
      </c>
      <c r="M34" s="111">
        <v>0.52700000000000002</v>
      </c>
      <c r="N34" s="111">
        <v>0.57099999999999995</v>
      </c>
      <c r="O34" s="111">
        <v>0.58399999999999996</v>
      </c>
    </row>
    <row r="35" spans="11:20">
      <c r="K35">
        <f t="shared" si="7"/>
        <v>5</v>
      </c>
      <c r="L35" s="111">
        <v>2.08</v>
      </c>
      <c r="M35" s="111">
        <v>1.978</v>
      </c>
      <c r="N35" s="111">
        <v>2.3210000000000002</v>
      </c>
      <c r="O35" s="111">
        <v>2.2610000000000001</v>
      </c>
    </row>
    <row r="36" spans="11:20">
      <c r="K36">
        <f t="shared" si="7"/>
        <v>6</v>
      </c>
      <c r="L36" s="111">
        <v>-0.24</v>
      </c>
      <c r="M36" s="111">
        <v>-0.23300000000000001</v>
      </c>
      <c r="N36" s="111">
        <v>-0.24299999999999999</v>
      </c>
      <c r="O36" s="111">
        <v>-0.24099999999999999</v>
      </c>
    </row>
    <row r="37" spans="11:20">
      <c r="K37">
        <f t="shared" si="7"/>
        <v>7</v>
      </c>
      <c r="L37" s="111" t="s">
        <v>87</v>
      </c>
      <c r="M37" s="111" t="s">
        <v>88</v>
      </c>
      <c r="N37" s="111" t="s">
        <v>89</v>
      </c>
      <c r="O37" s="111" t="s">
        <v>90</v>
      </c>
    </row>
    <row r="38" spans="11:20">
      <c r="K38">
        <f t="shared" si="7"/>
        <v>8</v>
      </c>
      <c r="L38" s="111">
        <v>0</v>
      </c>
      <c r="M38" s="111">
        <v>0</v>
      </c>
      <c r="N38" s="111">
        <v>0</v>
      </c>
      <c r="O38" s="111">
        <v>0</v>
      </c>
      <c r="Q38" s="111">
        <v>0</v>
      </c>
      <c r="R38" s="111">
        <v>-0.06</v>
      </c>
      <c r="S38" s="111">
        <v>0.13139999999999999</v>
      </c>
      <c r="T38" s="111">
        <v>0.05</v>
      </c>
    </row>
    <row r="39" spans="11:20">
      <c r="K39">
        <f t="shared" si="7"/>
        <v>9</v>
      </c>
      <c r="L39" s="111">
        <v>1.476</v>
      </c>
      <c r="M39" s="111">
        <v>1.5469999999999999</v>
      </c>
      <c r="N39" s="111">
        <v>1.3540000000000001</v>
      </c>
      <c r="O39" s="111">
        <v>1.458</v>
      </c>
      <c r="Q39" s="111">
        <v>0</v>
      </c>
      <c r="R39" s="111">
        <v>0</v>
      </c>
      <c r="S39" s="111">
        <v>0</v>
      </c>
      <c r="T39" s="111">
        <v>0</v>
      </c>
    </row>
    <row r="40" spans="11:20">
      <c r="K40">
        <f t="shared" si="7"/>
        <v>10</v>
      </c>
      <c r="L40" s="111">
        <v>0</v>
      </c>
      <c r="M40" s="111">
        <v>-0.06</v>
      </c>
      <c r="N40" s="111">
        <v>0.13139999999999999</v>
      </c>
      <c r="O40" s="111">
        <v>0.05</v>
      </c>
      <c r="Q40" s="111">
        <v>1.476</v>
      </c>
      <c r="R40" s="111">
        <v>1.5469999999999999</v>
      </c>
      <c r="S40" s="111">
        <v>1.3540000000000001</v>
      </c>
      <c r="T40" s="111">
        <v>1.458</v>
      </c>
    </row>
    <row r="42" spans="11:20">
      <c r="K42">
        <v>1</v>
      </c>
      <c r="L42" s="111">
        <v>-7.415</v>
      </c>
      <c r="M42" s="111">
        <v>-6.4619999999999997</v>
      </c>
      <c r="N42" s="111">
        <v>-8.6150000000000002</v>
      </c>
      <c r="O42" s="111">
        <v>-7.718</v>
      </c>
    </row>
    <row r="43" spans="11:20">
      <c r="K43">
        <f>+K42+1</f>
        <v>2</v>
      </c>
      <c r="L43" s="111">
        <v>-2.758</v>
      </c>
      <c r="M43" s="111">
        <v>-2.6320000000000001</v>
      </c>
      <c r="N43" s="111">
        <v>-3.0249999999999999</v>
      </c>
      <c r="O43" s="111">
        <v>-2.931</v>
      </c>
    </row>
    <row r="44" spans="11:20">
      <c r="K44">
        <f t="shared" ref="K44:K51" si="8">+K43+1</f>
        <v>3</v>
      </c>
      <c r="L44" s="111">
        <v>-0.28000000000000003</v>
      </c>
      <c r="M44" s="111">
        <v>-0.27800000000000002</v>
      </c>
      <c r="N44" s="111">
        <v>-0.313</v>
      </c>
      <c r="O44" s="111">
        <v>-0.31900000000000001</v>
      </c>
    </row>
    <row r="45" spans="11:20">
      <c r="K45">
        <f t="shared" si="8"/>
        <v>4</v>
      </c>
      <c r="L45" s="111">
        <v>0.52900000000000003</v>
      </c>
      <c r="M45" s="111">
        <v>0.52700000000000002</v>
      </c>
      <c r="N45" s="111">
        <v>0.57099999999999995</v>
      </c>
      <c r="O45" s="111">
        <v>0.58399999999999996</v>
      </c>
    </row>
    <row r="46" spans="11:20">
      <c r="K46">
        <f t="shared" si="8"/>
        <v>5</v>
      </c>
      <c r="L46" s="111">
        <v>2.08</v>
      </c>
      <c r="M46" s="111">
        <v>1.978</v>
      </c>
      <c r="N46" s="111">
        <v>2.3210000000000002</v>
      </c>
      <c r="O46" s="111">
        <v>2.2610000000000001</v>
      </c>
    </row>
    <row r="47" spans="11:20">
      <c r="K47">
        <f t="shared" si="8"/>
        <v>6</v>
      </c>
      <c r="L47" s="111">
        <v>-0.24</v>
      </c>
      <c r="M47" s="111">
        <v>-0.23300000000000001</v>
      </c>
      <c r="N47" s="111">
        <v>-0.24299999999999999</v>
      </c>
      <c r="O47" s="111">
        <v>-0.24099999999999999</v>
      </c>
    </row>
    <row r="48" spans="11:20">
      <c r="K48">
        <f t="shared" si="8"/>
        <v>7</v>
      </c>
      <c r="L48" s="111">
        <v>0.97599999999999998</v>
      </c>
      <c r="M48" s="111">
        <v>1.069</v>
      </c>
      <c r="N48" s="111">
        <v>0.92800000000000005</v>
      </c>
      <c r="O48" s="111">
        <v>1.0309999999999999</v>
      </c>
    </row>
    <row r="49" spans="11:20">
      <c r="K49">
        <f t="shared" si="8"/>
        <v>8</v>
      </c>
      <c r="L49" s="111">
        <v>-0.46700000000000003</v>
      </c>
      <c r="M49" s="111">
        <v>-0.498</v>
      </c>
      <c r="N49" s="111">
        <v>-0.443</v>
      </c>
      <c r="O49" s="111">
        <v>-0.48</v>
      </c>
      <c r="Q49" s="111">
        <v>0</v>
      </c>
      <c r="R49" s="111">
        <v>-0.06</v>
      </c>
      <c r="S49" s="111">
        <v>0.13139999999999999</v>
      </c>
      <c r="T49" s="111">
        <v>0.05</v>
      </c>
    </row>
    <row r="50" spans="11:20">
      <c r="K50">
        <f t="shared" si="8"/>
        <v>9</v>
      </c>
      <c r="L50" s="111">
        <v>1.476</v>
      </c>
      <c r="M50" s="111">
        <v>1.5469999999999999</v>
      </c>
      <c r="N50" s="111">
        <v>1.3540000000000001</v>
      </c>
      <c r="O50" s="111">
        <v>1.458</v>
      </c>
      <c r="Q50" s="111">
        <v>-0.46700000000000003</v>
      </c>
      <c r="R50" s="111">
        <v>-0.498</v>
      </c>
      <c r="S50" s="111">
        <v>-0.443</v>
      </c>
      <c r="T50" s="111">
        <v>-0.48</v>
      </c>
    </row>
    <row r="51" spans="11:20">
      <c r="K51">
        <f t="shared" si="8"/>
        <v>10</v>
      </c>
      <c r="L51" s="111">
        <v>0</v>
      </c>
      <c r="M51" s="111">
        <v>-0.06</v>
      </c>
      <c r="N51" s="111">
        <v>0.13139999999999999</v>
      </c>
      <c r="O51" s="111">
        <v>0.05</v>
      </c>
      <c r="Q51" s="111">
        <v>1.476</v>
      </c>
      <c r="R51" s="111">
        <v>1.5469999999999999</v>
      </c>
      <c r="S51" s="111">
        <v>1.3540000000000001</v>
      </c>
      <c r="T51" s="111">
        <v>1.458</v>
      </c>
    </row>
  </sheetData>
  <sheetProtection algorithmName="SHA-512" hashValue="UJv+zLOfMeZbrp48ToKzVTimr3nxae1XZ/VwpgvIfsM1tNViry8MtFNMZkCHM1scLzeuyUrkKLcmaqER2ftaSQ==" saltValue="tTmnFc2IRRjJJ5JW35onCA==" spinCount="100000" sheet="1" selectLockedCells="1"/>
  <mergeCells count="11">
    <mergeCell ref="V4:W4"/>
    <mergeCell ref="Y4:Z4"/>
    <mergeCell ref="V13:W13"/>
    <mergeCell ref="A4:B4"/>
    <mergeCell ref="D4:E4"/>
    <mergeCell ref="L13:M13"/>
    <mergeCell ref="N13:U13"/>
    <mergeCell ref="H4:I4"/>
    <mergeCell ref="K4:L4"/>
    <mergeCell ref="P4:Q4"/>
    <mergeCell ref="S4:T4"/>
  </mergeCells>
  <phoneticPr fontId="30" type="noConversion"/>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Z118"/>
  <sheetViews>
    <sheetView zoomScale="90" zoomScaleNormal="90" workbookViewId="0">
      <selection activeCell="B9" sqref="B9"/>
    </sheetView>
  </sheetViews>
  <sheetFormatPr defaultColWidth="11.453125" defaultRowHeight="14.5"/>
  <cols>
    <col min="1" max="1" width="35.6328125" style="2" customWidth="1"/>
    <col min="2" max="2" width="19.6328125" style="2" bestFit="1" customWidth="1"/>
    <col min="3" max="4" width="11.453125" style="2" customWidth="1"/>
    <col min="5" max="5" width="10.6328125" style="2" bestFit="1" customWidth="1"/>
    <col min="6" max="6" width="58.08984375" style="2" customWidth="1"/>
    <col min="7" max="7" width="9.1796875" style="2" customWidth="1"/>
    <col min="8" max="8" width="12.90625" style="2" customWidth="1"/>
    <col min="9" max="9" width="13.36328125" style="2" customWidth="1"/>
    <col min="10" max="10" width="13" style="2" customWidth="1"/>
    <col min="11" max="12" width="13.453125" style="2" customWidth="1"/>
    <col min="13" max="13" width="9.08984375" style="2" customWidth="1"/>
    <col min="14" max="14" width="8.453125" style="2" customWidth="1"/>
    <col min="15" max="15" width="8.6328125" style="2" customWidth="1"/>
    <col min="16" max="16" width="9.90625" style="2" customWidth="1"/>
    <col min="17" max="256" width="9.08984375" style="2" customWidth="1"/>
    <col min="257" max="257" width="35.6328125" style="2" customWidth="1"/>
    <col min="258" max="260" width="11.453125" style="2" customWidth="1"/>
    <col min="261" max="261" width="10.6328125" style="2" bestFit="1" customWidth="1"/>
    <col min="262" max="262" width="11.453125" style="2" customWidth="1"/>
    <col min="263" max="263" width="18.81640625" style="2" customWidth="1"/>
    <col min="264" max="264" width="13.6328125" style="2" bestFit="1" customWidth="1"/>
    <col min="265" max="265" width="11.453125" style="2" customWidth="1"/>
    <col min="266" max="266" width="13.6328125" style="2" bestFit="1" customWidth="1"/>
    <col min="267" max="268" width="13.453125" style="2" customWidth="1"/>
    <col min="269" max="512" width="9.08984375" style="2" customWidth="1"/>
    <col min="513" max="513" width="35.6328125" style="2" customWidth="1"/>
    <col min="514" max="516" width="11.453125" style="2" customWidth="1"/>
    <col min="517" max="517" width="10.6328125" style="2" bestFit="1" customWidth="1"/>
    <col min="518" max="518" width="11.453125" style="2" customWidth="1"/>
    <col min="519" max="519" width="18.81640625" style="2" customWidth="1"/>
    <col min="520" max="520" width="13.6328125" style="2" bestFit="1" customWidth="1"/>
    <col min="521" max="521" width="11.453125" style="2" customWidth="1"/>
    <col min="522" max="522" width="13.6328125" style="2" bestFit="1" customWidth="1"/>
    <col min="523" max="524" width="13.453125" style="2" customWidth="1"/>
    <col min="525" max="768" width="9.08984375" style="2" customWidth="1"/>
    <col min="769" max="769" width="35.6328125" style="2" customWidth="1"/>
    <col min="770" max="772" width="11.453125" style="2" customWidth="1"/>
    <col min="773" max="773" width="10.6328125" style="2" bestFit="1" customWidth="1"/>
    <col min="774" max="774" width="11.453125" style="2" customWidth="1"/>
    <col min="775" max="775" width="18.81640625" style="2" customWidth="1"/>
    <col min="776" max="776" width="13.6328125" style="2" bestFit="1" customWidth="1"/>
    <col min="777" max="777" width="11.453125" style="2" customWidth="1"/>
    <col min="778" max="778" width="13.6328125" style="2" bestFit="1" customWidth="1"/>
    <col min="779" max="780" width="13.453125" style="2" customWidth="1"/>
    <col min="781" max="1024" width="9.08984375" style="2" customWidth="1"/>
    <col min="1025" max="1025" width="35.6328125" style="2" customWidth="1"/>
    <col min="1026" max="1028" width="11.453125" style="2" customWidth="1"/>
    <col min="1029" max="1029" width="10.6328125" style="2" bestFit="1" customWidth="1"/>
    <col min="1030" max="1030" width="11.453125" style="2" customWidth="1"/>
    <col min="1031" max="1031" width="18.81640625" style="2" customWidth="1"/>
    <col min="1032" max="1032" width="13.6328125" style="2" bestFit="1" customWidth="1"/>
    <col min="1033" max="1033" width="11.453125" style="2" customWidth="1"/>
    <col min="1034" max="1034" width="13.6328125" style="2" bestFit="1" customWidth="1"/>
    <col min="1035" max="1036" width="13.453125" style="2" customWidth="1"/>
    <col min="1037" max="1280" width="9.08984375" style="2" customWidth="1"/>
    <col min="1281" max="1281" width="35.6328125" style="2" customWidth="1"/>
    <col min="1282" max="1284" width="11.453125" style="2" customWidth="1"/>
    <col min="1285" max="1285" width="10.6328125" style="2" bestFit="1" customWidth="1"/>
    <col min="1286" max="1286" width="11.453125" style="2" customWidth="1"/>
    <col min="1287" max="1287" width="18.81640625" style="2" customWidth="1"/>
    <col min="1288" max="1288" width="13.6328125" style="2" bestFit="1" customWidth="1"/>
    <col min="1289" max="1289" width="11.453125" style="2" customWidth="1"/>
    <col min="1290" max="1290" width="13.6328125" style="2" bestFit="1" customWidth="1"/>
    <col min="1291" max="1292" width="13.453125" style="2" customWidth="1"/>
    <col min="1293" max="1536" width="9.08984375" style="2" customWidth="1"/>
    <col min="1537" max="1537" width="35.6328125" style="2" customWidth="1"/>
    <col min="1538" max="1540" width="11.453125" style="2" customWidth="1"/>
    <col min="1541" max="1541" width="10.6328125" style="2" bestFit="1" customWidth="1"/>
    <col min="1542" max="1542" width="11.453125" style="2" customWidth="1"/>
    <col min="1543" max="1543" width="18.81640625" style="2" customWidth="1"/>
    <col min="1544" max="1544" width="13.6328125" style="2" bestFit="1" customWidth="1"/>
    <col min="1545" max="1545" width="11.453125" style="2" customWidth="1"/>
    <col min="1546" max="1546" width="13.6328125" style="2" bestFit="1" customWidth="1"/>
    <col min="1547" max="1548" width="13.453125" style="2" customWidth="1"/>
    <col min="1549" max="1792" width="9.08984375" style="2" customWidth="1"/>
    <col min="1793" max="1793" width="35.6328125" style="2" customWidth="1"/>
    <col min="1794" max="1796" width="11.453125" style="2" customWidth="1"/>
    <col min="1797" max="1797" width="10.6328125" style="2" bestFit="1" customWidth="1"/>
    <col min="1798" max="1798" width="11.453125" style="2" customWidth="1"/>
    <col min="1799" max="1799" width="18.81640625" style="2" customWidth="1"/>
    <col min="1800" max="1800" width="13.6328125" style="2" bestFit="1" customWidth="1"/>
    <col min="1801" max="1801" width="11.453125" style="2" customWidth="1"/>
    <col min="1802" max="1802" width="13.6328125" style="2" bestFit="1" customWidth="1"/>
    <col min="1803" max="1804" width="13.453125" style="2" customWidth="1"/>
    <col min="1805" max="2048" width="9.08984375" style="2" customWidth="1"/>
    <col min="2049" max="2049" width="35.6328125" style="2" customWidth="1"/>
    <col min="2050" max="2052" width="11.453125" style="2" customWidth="1"/>
    <col min="2053" max="2053" width="10.6328125" style="2" bestFit="1" customWidth="1"/>
    <col min="2054" max="2054" width="11.453125" style="2" customWidth="1"/>
    <col min="2055" max="2055" width="18.81640625" style="2" customWidth="1"/>
    <col min="2056" max="2056" width="13.6328125" style="2" bestFit="1" customWidth="1"/>
    <col min="2057" max="2057" width="11.453125" style="2" customWidth="1"/>
    <col min="2058" max="2058" width="13.6328125" style="2" bestFit="1" customWidth="1"/>
    <col min="2059" max="2060" width="13.453125" style="2" customWidth="1"/>
    <col min="2061" max="2304" width="9.08984375" style="2" customWidth="1"/>
    <col min="2305" max="2305" width="35.6328125" style="2" customWidth="1"/>
    <col min="2306" max="2308" width="11.453125" style="2" customWidth="1"/>
    <col min="2309" max="2309" width="10.6328125" style="2" bestFit="1" customWidth="1"/>
    <col min="2310" max="2310" width="11.453125" style="2" customWidth="1"/>
    <col min="2311" max="2311" width="18.81640625" style="2" customWidth="1"/>
    <col min="2312" max="2312" width="13.6328125" style="2" bestFit="1" customWidth="1"/>
    <col min="2313" max="2313" width="11.453125" style="2" customWidth="1"/>
    <col min="2314" max="2314" width="13.6328125" style="2" bestFit="1" customWidth="1"/>
    <col min="2315" max="2316" width="13.453125" style="2" customWidth="1"/>
    <col min="2317" max="2560" width="9.08984375" style="2" customWidth="1"/>
    <col min="2561" max="2561" width="35.6328125" style="2" customWidth="1"/>
    <col min="2562" max="2564" width="11.453125" style="2" customWidth="1"/>
    <col min="2565" max="2565" width="10.6328125" style="2" bestFit="1" customWidth="1"/>
    <col min="2566" max="2566" width="11.453125" style="2" customWidth="1"/>
    <col min="2567" max="2567" width="18.81640625" style="2" customWidth="1"/>
    <col min="2568" max="2568" width="13.6328125" style="2" bestFit="1" customWidth="1"/>
    <col min="2569" max="2569" width="11.453125" style="2" customWidth="1"/>
    <col min="2570" max="2570" width="13.6328125" style="2" bestFit="1" customWidth="1"/>
    <col min="2571" max="2572" width="13.453125" style="2" customWidth="1"/>
    <col min="2573" max="2816" width="9.08984375" style="2" customWidth="1"/>
    <col min="2817" max="2817" width="35.6328125" style="2" customWidth="1"/>
    <col min="2818" max="2820" width="11.453125" style="2" customWidth="1"/>
    <col min="2821" max="2821" width="10.6328125" style="2" bestFit="1" customWidth="1"/>
    <col min="2822" max="2822" width="11.453125" style="2" customWidth="1"/>
    <col min="2823" max="2823" width="18.81640625" style="2" customWidth="1"/>
    <col min="2824" max="2824" width="13.6328125" style="2" bestFit="1" customWidth="1"/>
    <col min="2825" max="2825" width="11.453125" style="2" customWidth="1"/>
    <col min="2826" max="2826" width="13.6328125" style="2" bestFit="1" customWidth="1"/>
    <col min="2827" max="2828" width="13.453125" style="2" customWidth="1"/>
    <col min="2829" max="3072" width="9.08984375" style="2" customWidth="1"/>
    <col min="3073" max="3073" width="35.6328125" style="2" customWidth="1"/>
    <col min="3074" max="3076" width="11.453125" style="2" customWidth="1"/>
    <col min="3077" max="3077" width="10.6328125" style="2" bestFit="1" customWidth="1"/>
    <col min="3078" max="3078" width="11.453125" style="2" customWidth="1"/>
    <col min="3079" max="3079" width="18.81640625" style="2" customWidth="1"/>
    <col min="3080" max="3080" width="13.6328125" style="2" bestFit="1" customWidth="1"/>
    <col min="3081" max="3081" width="11.453125" style="2" customWidth="1"/>
    <col min="3082" max="3082" width="13.6328125" style="2" bestFit="1" customWidth="1"/>
    <col min="3083" max="3084" width="13.453125" style="2" customWidth="1"/>
    <col min="3085" max="3328" width="9.08984375" style="2" customWidth="1"/>
    <col min="3329" max="3329" width="35.6328125" style="2" customWidth="1"/>
    <col min="3330" max="3332" width="11.453125" style="2" customWidth="1"/>
    <col min="3333" max="3333" width="10.6328125" style="2" bestFit="1" customWidth="1"/>
    <col min="3334" max="3334" width="11.453125" style="2" customWidth="1"/>
    <col min="3335" max="3335" width="18.81640625" style="2" customWidth="1"/>
    <col min="3336" max="3336" width="13.6328125" style="2" bestFit="1" customWidth="1"/>
    <col min="3337" max="3337" width="11.453125" style="2" customWidth="1"/>
    <col min="3338" max="3338" width="13.6328125" style="2" bestFit="1" customWidth="1"/>
    <col min="3339" max="3340" width="13.453125" style="2" customWidth="1"/>
    <col min="3341" max="3584" width="9.08984375" style="2" customWidth="1"/>
    <col min="3585" max="3585" width="35.6328125" style="2" customWidth="1"/>
    <col min="3586" max="3588" width="11.453125" style="2" customWidth="1"/>
    <col min="3589" max="3589" width="10.6328125" style="2" bestFit="1" customWidth="1"/>
    <col min="3590" max="3590" width="11.453125" style="2" customWidth="1"/>
    <col min="3591" max="3591" width="18.81640625" style="2" customWidth="1"/>
    <col min="3592" max="3592" width="13.6328125" style="2" bestFit="1" customWidth="1"/>
    <col min="3593" max="3593" width="11.453125" style="2" customWidth="1"/>
    <col min="3594" max="3594" width="13.6328125" style="2" bestFit="1" customWidth="1"/>
    <col min="3595" max="3596" width="13.453125" style="2" customWidth="1"/>
    <col min="3597" max="3840" width="9.08984375" style="2" customWidth="1"/>
    <col min="3841" max="3841" width="35.6328125" style="2" customWidth="1"/>
    <col min="3842" max="3844" width="11.453125" style="2" customWidth="1"/>
    <col min="3845" max="3845" width="10.6328125" style="2" bestFit="1" customWidth="1"/>
    <col min="3846" max="3846" width="11.453125" style="2" customWidth="1"/>
    <col min="3847" max="3847" width="18.81640625" style="2" customWidth="1"/>
    <col min="3848" max="3848" width="13.6328125" style="2" bestFit="1" customWidth="1"/>
    <col min="3849" max="3849" width="11.453125" style="2" customWidth="1"/>
    <col min="3850" max="3850" width="13.6328125" style="2" bestFit="1" customWidth="1"/>
    <col min="3851" max="3852" width="13.453125" style="2" customWidth="1"/>
    <col min="3853" max="4096" width="9.08984375" style="2" customWidth="1"/>
    <col min="4097" max="4097" width="35.6328125" style="2" customWidth="1"/>
    <col min="4098" max="4100" width="11.453125" style="2" customWidth="1"/>
    <col min="4101" max="4101" width="10.6328125" style="2" bestFit="1" customWidth="1"/>
    <col min="4102" max="4102" width="11.453125" style="2" customWidth="1"/>
    <col min="4103" max="4103" width="18.81640625" style="2" customWidth="1"/>
    <col min="4104" max="4104" width="13.6328125" style="2" bestFit="1" customWidth="1"/>
    <col min="4105" max="4105" width="11.453125" style="2" customWidth="1"/>
    <col min="4106" max="4106" width="13.6328125" style="2" bestFit="1" customWidth="1"/>
    <col min="4107" max="4108" width="13.453125" style="2" customWidth="1"/>
    <col min="4109" max="4352" width="9.08984375" style="2" customWidth="1"/>
    <col min="4353" max="4353" width="35.6328125" style="2" customWidth="1"/>
    <col min="4354" max="4356" width="11.453125" style="2" customWidth="1"/>
    <col min="4357" max="4357" width="10.6328125" style="2" bestFit="1" customWidth="1"/>
    <col min="4358" max="4358" width="11.453125" style="2" customWidth="1"/>
    <col min="4359" max="4359" width="18.81640625" style="2" customWidth="1"/>
    <col min="4360" max="4360" width="13.6328125" style="2" bestFit="1" customWidth="1"/>
    <col min="4361" max="4361" width="11.453125" style="2" customWidth="1"/>
    <col min="4362" max="4362" width="13.6328125" style="2" bestFit="1" customWidth="1"/>
    <col min="4363" max="4364" width="13.453125" style="2" customWidth="1"/>
    <col min="4365" max="4608" width="9.08984375" style="2" customWidth="1"/>
    <col min="4609" max="4609" width="35.6328125" style="2" customWidth="1"/>
    <col min="4610" max="4612" width="11.453125" style="2" customWidth="1"/>
    <col min="4613" max="4613" width="10.6328125" style="2" bestFit="1" customWidth="1"/>
    <col min="4614" max="4614" width="11.453125" style="2" customWidth="1"/>
    <col min="4615" max="4615" width="18.81640625" style="2" customWidth="1"/>
    <col min="4616" max="4616" width="13.6328125" style="2" bestFit="1" customWidth="1"/>
    <col min="4617" max="4617" width="11.453125" style="2" customWidth="1"/>
    <col min="4618" max="4618" width="13.6328125" style="2" bestFit="1" customWidth="1"/>
    <col min="4619" max="4620" width="13.453125" style="2" customWidth="1"/>
    <col min="4621" max="4864" width="9.08984375" style="2" customWidth="1"/>
    <col min="4865" max="4865" width="35.6328125" style="2" customWidth="1"/>
    <col min="4866" max="4868" width="11.453125" style="2" customWidth="1"/>
    <col min="4869" max="4869" width="10.6328125" style="2" bestFit="1" customWidth="1"/>
    <col min="4870" max="4870" width="11.453125" style="2" customWidth="1"/>
    <col min="4871" max="4871" width="18.81640625" style="2" customWidth="1"/>
    <col min="4872" max="4872" width="13.6328125" style="2" bestFit="1" customWidth="1"/>
    <col min="4873" max="4873" width="11.453125" style="2" customWidth="1"/>
    <col min="4874" max="4874" width="13.6328125" style="2" bestFit="1" customWidth="1"/>
    <col min="4875" max="4876" width="13.453125" style="2" customWidth="1"/>
    <col min="4877" max="5120" width="9.08984375" style="2" customWidth="1"/>
    <col min="5121" max="5121" width="35.6328125" style="2" customWidth="1"/>
    <col min="5122" max="5124" width="11.453125" style="2" customWidth="1"/>
    <col min="5125" max="5125" width="10.6328125" style="2" bestFit="1" customWidth="1"/>
    <col min="5126" max="5126" width="11.453125" style="2" customWidth="1"/>
    <col min="5127" max="5127" width="18.81640625" style="2" customWidth="1"/>
    <col min="5128" max="5128" width="13.6328125" style="2" bestFit="1" customWidth="1"/>
    <col min="5129" max="5129" width="11.453125" style="2" customWidth="1"/>
    <col min="5130" max="5130" width="13.6328125" style="2" bestFit="1" customWidth="1"/>
    <col min="5131" max="5132" width="13.453125" style="2" customWidth="1"/>
    <col min="5133" max="5376" width="9.08984375" style="2" customWidth="1"/>
    <col min="5377" max="5377" width="35.6328125" style="2" customWidth="1"/>
    <col min="5378" max="5380" width="11.453125" style="2" customWidth="1"/>
    <col min="5381" max="5381" width="10.6328125" style="2" bestFit="1" customWidth="1"/>
    <col min="5382" max="5382" width="11.453125" style="2" customWidth="1"/>
    <col min="5383" max="5383" width="18.81640625" style="2" customWidth="1"/>
    <col min="5384" max="5384" width="13.6328125" style="2" bestFit="1" customWidth="1"/>
    <col min="5385" max="5385" width="11.453125" style="2" customWidth="1"/>
    <col min="5386" max="5386" width="13.6328125" style="2" bestFit="1" customWidth="1"/>
    <col min="5387" max="5388" width="13.453125" style="2" customWidth="1"/>
    <col min="5389" max="5632" width="9.08984375" style="2" customWidth="1"/>
    <col min="5633" max="5633" width="35.6328125" style="2" customWidth="1"/>
    <col min="5634" max="5636" width="11.453125" style="2" customWidth="1"/>
    <col min="5637" max="5637" width="10.6328125" style="2" bestFit="1" customWidth="1"/>
    <col min="5638" max="5638" width="11.453125" style="2" customWidth="1"/>
    <col min="5639" max="5639" width="18.81640625" style="2" customWidth="1"/>
    <col min="5640" max="5640" width="13.6328125" style="2" bestFit="1" customWidth="1"/>
    <col min="5641" max="5641" width="11.453125" style="2" customWidth="1"/>
    <col min="5642" max="5642" width="13.6328125" style="2" bestFit="1" customWidth="1"/>
    <col min="5643" max="5644" width="13.453125" style="2" customWidth="1"/>
    <col min="5645" max="5888" width="9.08984375" style="2" customWidth="1"/>
    <col min="5889" max="5889" width="35.6328125" style="2" customWidth="1"/>
    <col min="5890" max="5892" width="11.453125" style="2" customWidth="1"/>
    <col min="5893" max="5893" width="10.6328125" style="2" bestFit="1" customWidth="1"/>
    <col min="5894" max="5894" width="11.453125" style="2" customWidth="1"/>
    <col min="5895" max="5895" width="18.81640625" style="2" customWidth="1"/>
    <col min="5896" max="5896" width="13.6328125" style="2" bestFit="1" customWidth="1"/>
    <col min="5897" max="5897" width="11.453125" style="2" customWidth="1"/>
    <col min="5898" max="5898" width="13.6328125" style="2" bestFit="1" customWidth="1"/>
    <col min="5899" max="5900" width="13.453125" style="2" customWidth="1"/>
    <col min="5901" max="6144" width="9.08984375" style="2" customWidth="1"/>
    <col min="6145" max="6145" width="35.6328125" style="2" customWidth="1"/>
    <col min="6146" max="6148" width="11.453125" style="2" customWidth="1"/>
    <col min="6149" max="6149" width="10.6328125" style="2" bestFit="1" customWidth="1"/>
    <col min="6150" max="6150" width="11.453125" style="2" customWidth="1"/>
    <col min="6151" max="6151" width="18.81640625" style="2" customWidth="1"/>
    <col min="6152" max="6152" width="13.6328125" style="2" bestFit="1" customWidth="1"/>
    <col min="6153" max="6153" width="11.453125" style="2" customWidth="1"/>
    <col min="6154" max="6154" width="13.6328125" style="2" bestFit="1" customWidth="1"/>
    <col min="6155" max="6156" width="13.453125" style="2" customWidth="1"/>
    <col min="6157" max="6400" width="9.08984375" style="2" customWidth="1"/>
    <col min="6401" max="6401" width="35.6328125" style="2" customWidth="1"/>
    <col min="6402" max="6404" width="11.453125" style="2" customWidth="1"/>
    <col min="6405" max="6405" width="10.6328125" style="2" bestFit="1" customWidth="1"/>
    <col min="6406" max="6406" width="11.453125" style="2" customWidth="1"/>
    <col min="6407" max="6407" width="18.81640625" style="2" customWidth="1"/>
    <col min="6408" max="6408" width="13.6328125" style="2" bestFit="1" customWidth="1"/>
    <col min="6409" max="6409" width="11.453125" style="2" customWidth="1"/>
    <col min="6410" max="6410" width="13.6328125" style="2" bestFit="1" customWidth="1"/>
    <col min="6411" max="6412" width="13.453125" style="2" customWidth="1"/>
    <col min="6413" max="6656" width="9.08984375" style="2" customWidth="1"/>
    <col min="6657" max="6657" width="35.6328125" style="2" customWidth="1"/>
    <col min="6658" max="6660" width="11.453125" style="2" customWidth="1"/>
    <col min="6661" max="6661" width="10.6328125" style="2" bestFit="1" customWidth="1"/>
    <col min="6662" max="6662" width="11.453125" style="2" customWidth="1"/>
    <col min="6663" max="6663" width="18.81640625" style="2" customWidth="1"/>
    <col min="6664" max="6664" width="13.6328125" style="2" bestFit="1" customWidth="1"/>
    <col min="6665" max="6665" width="11.453125" style="2" customWidth="1"/>
    <col min="6666" max="6666" width="13.6328125" style="2" bestFit="1" customWidth="1"/>
    <col min="6667" max="6668" width="13.453125" style="2" customWidth="1"/>
    <col min="6669" max="6912" width="9.08984375" style="2" customWidth="1"/>
    <col min="6913" max="6913" width="35.6328125" style="2" customWidth="1"/>
    <col min="6914" max="6916" width="11.453125" style="2" customWidth="1"/>
    <col min="6917" max="6917" width="10.6328125" style="2" bestFit="1" customWidth="1"/>
    <col min="6918" max="6918" width="11.453125" style="2" customWidth="1"/>
    <col min="6919" max="6919" width="18.81640625" style="2" customWidth="1"/>
    <col min="6920" max="6920" width="13.6328125" style="2" bestFit="1" customWidth="1"/>
    <col min="6921" max="6921" width="11.453125" style="2" customWidth="1"/>
    <col min="6922" max="6922" width="13.6328125" style="2" bestFit="1" customWidth="1"/>
    <col min="6923" max="6924" width="13.453125" style="2" customWidth="1"/>
    <col min="6925" max="7168" width="9.08984375" style="2" customWidth="1"/>
    <col min="7169" max="7169" width="35.6328125" style="2" customWidth="1"/>
    <col min="7170" max="7172" width="11.453125" style="2" customWidth="1"/>
    <col min="7173" max="7173" width="10.6328125" style="2" bestFit="1" customWidth="1"/>
    <col min="7174" max="7174" width="11.453125" style="2" customWidth="1"/>
    <col min="7175" max="7175" width="18.81640625" style="2" customWidth="1"/>
    <col min="7176" max="7176" width="13.6328125" style="2" bestFit="1" customWidth="1"/>
    <col min="7177" max="7177" width="11.453125" style="2" customWidth="1"/>
    <col min="7178" max="7178" width="13.6328125" style="2" bestFit="1" customWidth="1"/>
    <col min="7179" max="7180" width="13.453125" style="2" customWidth="1"/>
    <col min="7181" max="7424" width="9.08984375" style="2" customWidth="1"/>
    <col min="7425" max="7425" width="35.6328125" style="2" customWidth="1"/>
    <col min="7426" max="7428" width="11.453125" style="2" customWidth="1"/>
    <col min="7429" max="7429" width="10.6328125" style="2" bestFit="1" customWidth="1"/>
    <col min="7430" max="7430" width="11.453125" style="2" customWidth="1"/>
    <col min="7431" max="7431" width="18.81640625" style="2" customWidth="1"/>
    <col min="7432" max="7432" width="13.6328125" style="2" bestFit="1" customWidth="1"/>
    <col min="7433" max="7433" width="11.453125" style="2" customWidth="1"/>
    <col min="7434" max="7434" width="13.6328125" style="2" bestFit="1" customWidth="1"/>
    <col min="7435" max="7436" width="13.453125" style="2" customWidth="1"/>
    <col min="7437" max="7680" width="9.08984375" style="2" customWidth="1"/>
    <col min="7681" max="7681" width="35.6328125" style="2" customWidth="1"/>
    <col min="7682" max="7684" width="11.453125" style="2" customWidth="1"/>
    <col min="7685" max="7685" width="10.6328125" style="2" bestFit="1" customWidth="1"/>
    <col min="7686" max="7686" width="11.453125" style="2" customWidth="1"/>
    <col min="7687" max="7687" width="18.81640625" style="2" customWidth="1"/>
    <col min="7688" max="7688" width="13.6328125" style="2" bestFit="1" customWidth="1"/>
    <col min="7689" max="7689" width="11.453125" style="2" customWidth="1"/>
    <col min="7690" max="7690" width="13.6328125" style="2" bestFit="1" customWidth="1"/>
    <col min="7691" max="7692" width="13.453125" style="2" customWidth="1"/>
    <col min="7693" max="7936" width="9.08984375" style="2" customWidth="1"/>
    <col min="7937" max="7937" width="35.6328125" style="2" customWidth="1"/>
    <col min="7938" max="7940" width="11.453125" style="2" customWidth="1"/>
    <col min="7941" max="7941" width="10.6328125" style="2" bestFit="1" customWidth="1"/>
    <col min="7942" max="7942" width="11.453125" style="2" customWidth="1"/>
    <col min="7943" max="7943" width="18.81640625" style="2" customWidth="1"/>
    <col min="7944" max="7944" width="13.6328125" style="2" bestFit="1" customWidth="1"/>
    <col min="7945" max="7945" width="11.453125" style="2" customWidth="1"/>
    <col min="7946" max="7946" width="13.6328125" style="2" bestFit="1" customWidth="1"/>
    <col min="7947" max="7948" width="13.453125" style="2" customWidth="1"/>
    <col min="7949" max="8192" width="9.08984375" style="2" customWidth="1"/>
    <col min="8193" max="8193" width="35.6328125" style="2" customWidth="1"/>
    <col min="8194" max="8196" width="11.453125" style="2" customWidth="1"/>
    <col min="8197" max="8197" width="10.6328125" style="2" bestFit="1" customWidth="1"/>
    <col min="8198" max="8198" width="11.453125" style="2" customWidth="1"/>
    <col min="8199" max="8199" width="18.81640625" style="2" customWidth="1"/>
    <col min="8200" max="8200" width="13.6328125" style="2" bestFit="1" customWidth="1"/>
    <col min="8201" max="8201" width="11.453125" style="2" customWidth="1"/>
    <col min="8202" max="8202" width="13.6328125" style="2" bestFit="1" customWidth="1"/>
    <col min="8203" max="8204" width="13.453125" style="2" customWidth="1"/>
    <col min="8205" max="8448" width="9.08984375" style="2" customWidth="1"/>
    <col min="8449" max="8449" width="35.6328125" style="2" customWidth="1"/>
    <col min="8450" max="8452" width="11.453125" style="2" customWidth="1"/>
    <col min="8453" max="8453" width="10.6328125" style="2" bestFit="1" customWidth="1"/>
    <col min="8454" max="8454" width="11.453125" style="2" customWidth="1"/>
    <col min="8455" max="8455" width="18.81640625" style="2" customWidth="1"/>
    <col min="8456" max="8456" width="13.6328125" style="2" bestFit="1" customWidth="1"/>
    <col min="8457" max="8457" width="11.453125" style="2" customWidth="1"/>
    <col min="8458" max="8458" width="13.6328125" style="2" bestFit="1" customWidth="1"/>
    <col min="8459" max="8460" width="13.453125" style="2" customWidth="1"/>
    <col min="8461" max="8704" width="9.08984375" style="2" customWidth="1"/>
    <col min="8705" max="8705" width="35.6328125" style="2" customWidth="1"/>
    <col min="8706" max="8708" width="11.453125" style="2" customWidth="1"/>
    <col min="8709" max="8709" width="10.6328125" style="2" bestFit="1" customWidth="1"/>
    <col min="8710" max="8710" width="11.453125" style="2" customWidth="1"/>
    <col min="8711" max="8711" width="18.81640625" style="2" customWidth="1"/>
    <col min="8712" max="8712" width="13.6328125" style="2" bestFit="1" customWidth="1"/>
    <col min="8713" max="8713" width="11.453125" style="2" customWidth="1"/>
    <col min="8714" max="8714" width="13.6328125" style="2" bestFit="1" customWidth="1"/>
    <col min="8715" max="8716" width="13.453125" style="2" customWidth="1"/>
    <col min="8717" max="8960" width="9.08984375" style="2" customWidth="1"/>
    <col min="8961" max="8961" width="35.6328125" style="2" customWidth="1"/>
    <col min="8962" max="8964" width="11.453125" style="2" customWidth="1"/>
    <col min="8965" max="8965" width="10.6328125" style="2" bestFit="1" customWidth="1"/>
    <col min="8966" max="8966" width="11.453125" style="2" customWidth="1"/>
    <col min="8967" max="8967" width="18.81640625" style="2" customWidth="1"/>
    <col min="8968" max="8968" width="13.6328125" style="2" bestFit="1" customWidth="1"/>
    <col min="8969" max="8969" width="11.453125" style="2" customWidth="1"/>
    <col min="8970" max="8970" width="13.6328125" style="2" bestFit="1" customWidth="1"/>
    <col min="8971" max="8972" width="13.453125" style="2" customWidth="1"/>
    <col min="8973" max="9216" width="9.08984375" style="2" customWidth="1"/>
    <col min="9217" max="9217" width="35.6328125" style="2" customWidth="1"/>
    <col min="9218" max="9220" width="11.453125" style="2" customWidth="1"/>
    <col min="9221" max="9221" width="10.6328125" style="2" bestFit="1" customWidth="1"/>
    <col min="9222" max="9222" width="11.453125" style="2" customWidth="1"/>
    <col min="9223" max="9223" width="18.81640625" style="2" customWidth="1"/>
    <col min="9224" max="9224" width="13.6328125" style="2" bestFit="1" customWidth="1"/>
    <col min="9225" max="9225" width="11.453125" style="2" customWidth="1"/>
    <col min="9226" max="9226" width="13.6328125" style="2" bestFit="1" customWidth="1"/>
    <col min="9227" max="9228" width="13.453125" style="2" customWidth="1"/>
    <col min="9229" max="9472" width="9.08984375" style="2" customWidth="1"/>
    <col min="9473" max="9473" width="35.6328125" style="2" customWidth="1"/>
    <col min="9474" max="9476" width="11.453125" style="2" customWidth="1"/>
    <col min="9477" max="9477" width="10.6328125" style="2" bestFit="1" customWidth="1"/>
    <col min="9478" max="9478" width="11.453125" style="2" customWidth="1"/>
    <col min="9479" max="9479" width="18.81640625" style="2" customWidth="1"/>
    <col min="9480" max="9480" width="13.6328125" style="2" bestFit="1" customWidth="1"/>
    <col min="9481" max="9481" width="11.453125" style="2" customWidth="1"/>
    <col min="9482" max="9482" width="13.6328125" style="2" bestFit="1" customWidth="1"/>
    <col min="9483" max="9484" width="13.453125" style="2" customWidth="1"/>
    <col min="9485" max="9728" width="9.08984375" style="2" customWidth="1"/>
    <col min="9729" max="9729" width="35.6328125" style="2" customWidth="1"/>
    <col min="9730" max="9732" width="11.453125" style="2" customWidth="1"/>
    <col min="9733" max="9733" width="10.6328125" style="2" bestFit="1" customWidth="1"/>
    <col min="9734" max="9734" width="11.453125" style="2" customWidth="1"/>
    <col min="9735" max="9735" width="18.81640625" style="2" customWidth="1"/>
    <col min="9736" max="9736" width="13.6328125" style="2" bestFit="1" customWidth="1"/>
    <col min="9737" max="9737" width="11.453125" style="2" customWidth="1"/>
    <col min="9738" max="9738" width="13.6328125" style="2" bestFit="1" customWidth="1"/>
    <col min="9739" max="9740" width="13.453125" style="2" customWidth="1"/>
    <col min="9741" max="9984" width="9.08984375" style="2" customWidth="1"/>
    <col min="9985" max="9985" width="35.6328125" style="2" customWidth="1"/>
    <col min="9986" max="9988" width="11.453125" style="2" customWidth="1"/>
    <col min="9989" max="9989" width="10.6328125" style="2" bestFit="1" customWidth="1"/>
    <col min="9990" max="9990" width="11.453125" style="2" customWidth="1"/>
    <col min="9991" max="9991" width="18.81640625" style="2" customWidth="1"/>
    <col min="9992" max="9992" width="13.6328125" style="2" bestFit="1" customWidth="1"/>
    <col min="9993" max="9993" width="11.453125" style="2" customWidth="1"/>
    <col min="9994" max="9994" width="13.6328125" style="2" bestFit="1" customWidth="1"/>
    <col min="9995" max="9996" width="13.453125" style="2" customWidth="1"/>
    <col min="9997" max="10240" width="9.08984375" style="2" customWidth="1"/>
    <col min="10241" max="10241" width="35.6328125" style="2" customWidth="1"/>
    <col min="10242" max="10244" width="11.453125" style="2" customWidth="1"/>
    <col min="10245" max="10245" width="10.6328125" style="2" bestFit="1" customWidth="1"/>
    <col min="10246" max="10246" width="11.453125" style="2" customWidth="1"/>
    <col min="10247" max="10247" width="18.81640625" style="2" customWidth="1"/>
    <col min="10248" max="10248" width="13.6328125" style="2" bestFit="1" customWidth="1"/>
    <col min="10249" max="10249" width="11.453125" style="2" customWidth="1"/>
    <col min="10250" max="10250" width="13.6328125" style="2" bestFit="1" customWidth="1"/>
    <col min="10251" max="10252" width="13.453125" style="2" customWidth="1"/>
    <col min="10253" max="10496" width="9.08984375" style="2" customWidth="1"/>
    <col min="10497" max="10497" width="35.6328125" style="2" customWidth="1"/>
    <col min="10498" max="10500" width="11.453125" style="2" customWidth="1"/>
    <col min="10501" max="10501" width="10.6328125" style="2" bestFit="1" customWidth="1"/>
    <col min="10502" max="10502" width="11.453125" style="2" customWidth="1"/>
    <col min="10503" max="10503" width="18.81640625" style="2" customWidth="1"/>
    <col min="10504" max="10504" width="13.6328125" style="2" bestFit="1" customWidth="1"/>
    <col min="10505" max="10505" width="11.453125" style="2" customWidth="1"/>
    <col min="10506" max="10506" width="13.6328125" style="2" bestFit="1" customWidth="1"/>
    <col min="10507" max="10508" width="13.453125" style="2" customWidth="1"/>
    <col min="10509" max="10752" width="9.08984375" style="2" customWidth="1"/>
    <col min="10753" max="10753" width="35.6328125" style="2" customWidth="1"/>
    <col min="10754" max="10756" width="11.453125" style="2" customWidth="1"/>
    <col min="10757" max="10757" width="10.6328125" style="2" bestFit="1" customWidth="1"/>
    <col min="10758" max="10758" width="11.453125" style="2" customWidth="1"/>
    <col min="10759" max="10759" width="18.81640625" style="2" customWidth="1"/>
    <col min="10760" max="10760" width="13.6328125" style="2" bestFit="1" customWidth="1"/>
    <col min="10761" max="10761" width="11.453125" style="2" customWidth="1"/>
    <col min="10762" max="10762" width="13.6328125" style="2" bestFit="1" customWidth="1"/>
    <col min="10763" max="10764" width="13.453125" style="2" customWidth="1"/>
    <col min="10765" max="11008" width="9.08984375" style="2" customWidth="1"/>
    <col min="11009" max="11009" width="35.6328125" style="2" customWidth="1"/>
    <col min="11010" max="11012" width="11.453125" style="2" customWidth="1"/>
    <col min="11013" max="11013" width="10.6328125" style="2" bestFit="1" customWidth="1"/>
    <col min="11014" max="11014" width="11.453125" style="2" customWidth="1"/>
    <col min="11015" max="11015" width="18.81640625" style="2" customWidth="1"/>
    <col min="11016" max="11016" width="13.6328125" style="2" bestFit="1" customWidth="1"/>
    <col min="11017" max="11017" width="11.453125" style="2" customWidth="1"/>
    <col min="11018" max="11018" width="13.6328125" style="2" bestFit="1" customWidth="1"/>
    <col min="11019" max="11020" width="13.453125" style="2" customWidth="1"/>
    <col min="11021" max="11264" width="9.08984375" style="2" customWidth="1"/>
    <col min="11265" max="11265" width="35.6328125" style="2" customWidth="1"/>
    <col min="11266" max="11268" width="11.453125" style="2" customWidth="1"/>
    <col min="11269" max="11269" width="10.6328125" style="2" bestFit="1" customWidth="1"/>
    <col min="11270" max="11270" width="11.453125" style="2" customWidth="1"/>
    <col min="11271" max="11271" width="18.81640625" style="2" customWidth="1"/>
    <col min="11272" max="11272" width="13.6328125" style="2" bestFit="1" customWidth="1"/>
    <col min="11273" max="11273" width="11.453125" style="2" customWidth="1"/>
    <col min="11274" max="11274" width="13.6328125" style="2" bestFit="1" customWidth="1"/>
    <col min="11275" max="11276" width="13.453125" style="2" customWidth="1"/>
    <col min="11277" max="11520" width="9.08984375" style="2" customWidth="1"/>
    <col min="11521" max="11521" width="35.6328125" style="2" customWidth="1"/>
    <col min="11522" max="11524" width="11.453125" style="2" customWidth="1"/>
    <col min="11525" max="11525" width="10.6328125" style="2" bestFit="1" customWidth="1"/>
    <col min="11526" max="11526" width="11.453125" style="2" customWidth="1"/>
    <col min="11527" max="11527" width="18.81640625" style="2" customWidth="1"/>
    <col min="11528" max="11528" width="13.6328125" style="2" bestFit="1" customWidth="1"/>
    <col min="11529" max="11529" width="11.453125" style="2" customWidth="1"/>
    <col min="11530" max="11530" width="13.6328125" style="2" bestFit="1" customWidth="1"/>
    <col min="11531" max="11532" width="13.453125" style="2" customWidth="1"/>
    <col min="11533" max="11776" width="9.08984375" style="2" customWidth="1"/>
    <col min="11777" max="11777" width="35.6328125" style="2" customWidth="1"/>
    <col min="11778" max="11780" width="11.453125" style="2" customWidth="1"/>
    <col min="11781" max="11781" width="10.6328125" style="2" bestFit="1" customWidth="1"/>
    <col min="11782" max="11782" width="11.453125" style="2" customWidth="1"/>
    <col min="11783" max="11783" width="18.81640625" style="2" customWidth="1"/>
    <col min="11784" max="11784" width="13.6328125" style="2" bestFit="1" customWidth="1"/>
    <col min="11785" max="11785" width="11.453125" style="2" customWidth="1"/>
    <col min="11786" max="11786" width="13.6328125" style="2" bestFit="1" customWidth="1"/>
    <col min="11787" max="11788" width="13.453125" style="2" customWidth="1"/>
    <col min="11789" max="12032" width="9.08984375" style="2" customWidth="1"/>
    <col min="12033" max="12033" width="35.6328125" style="2" customWidth="1"/>
    <col min="12034" max="12036" width="11.453125" style="2" customWidth="1"/>
    <col min="12037" max="12037" width="10.6328125" style="2" bestFit="1" customWidth="1"/>
    <col min="12038" max="12038" width="11.453125" style="2" customWidth="1"/>
    <col min="12039" max="12039" width="18.81640625" style="2" customWidth="1"/>
    <col min="12040" max="12040" width="13.6328125" style="2" bestFit="1" customWidth="1"/>
    <col min="12041" max="12041" width="11.453125" style="2" customWidth="1"/>
    <col min="12042" max="12042" width="13.6328125" style="2" bestFit="1" customWidth="1"/>
    <col min="12043" max="12044" width="13.453125" style="2" customWidth="1"/>
    <col min="12045" max="12288" width="9.08984375" style="2" customWidth="1"/>
    <col min="12289" max="12289" width="35.6328125" style="2" customWidth="1"/>
    <col min="12290" max="12292" width="11.453125" style="2" customWidth="1"/>
    <col min="12293" max="12293" width="10.6328125" style="2" bestFit="1" customWidth="1"/>
    <col min="12294" max="12294" width="11.453125" style="2" customWidth="1"/>
    <col min="12295" max="12295" width="18.81640625" style="2" customWidth="1"/>
    <col min="12296" max="12296" width="13.6328125" style="2" bestFit="1" customWidth="1"/>
    <col min="12297" max="12297" width="11.453125" style="2" customWidth="1"/>
    <col min="12298" max="12298" width="13.6328125" style="2" bestFit="1" customWidth="1"/>
    <col min="12299" max="12300" width="13.453125" style="2" customWidth="1"/>
    <col min="12301" max="12544" width="9.08984375" style="2" customWidth="1"/>
    <col min="12545" max="12545" width="35.6328125" style="2" customWidth="1"/>
    <col min="12546" max="12548" width="11.453125" style="2" customWidth="1"/>
    <col min="12549" max="12549" width="10.6328125" style="2" bestFit="1" customWidth="1"/>
    <col min="12550" max="12550" width="11.453125" style="2" customWidth="1"/>
    <col min="12551" max="12551" width="18.81640625" style="2" customWidth="1"/>
    <col min="12552" max="12552" width="13.6328125" style="2" bestFit="1" customWidth="1"/>
    <col min="12553" max="12553" width="11.453125" style="2" customWidth="1"/>
    <col min="12554" max="12554" width="13.6328125" style="2" bestFit="1" customWidth="1"/>
    <col min="12555" max="12556" width="13.453125" style="2" customWidth="1"/>
    <col min="12557" max="12800" width="9.08984375" style="2" customWidth="1"/>
    <col min="12801" max="12801" width="35.6328125" style="2" customWidth="1"/>
    <col min="12802" max="12804" width="11.453125" style="2" customWidth="1"/>
    <col min="12805" max="12805" width="10.6328125" style="2" bestFit="1" customWidth="1"/>
    <col min="12806" max="12806" width="11.453125" style="2" customWidth="1"/>
    <col min="12807" max="12807" width="18.81640625" style="2" customWidth="1"/>
    <col min="12808" max="12808" width="13.6328125" style="2" bestFit="1" customWidth="1"/>
    <col min="12809" max="12809" width="11.453125" style="2" customWidth="1"/>
    <col min="12810" max="12810" width="13.6328125" style="2" bestFit="1" customWidth="1"/>
    <col min="12811" max="12812" width="13.453125" style="2" customWidth="1"/>
    <col min="12813" max="13056" width="9.08984375" style="2" customWidth="1"/>
    <col min="13057" max="13057" width="35.6328125" style="2" customWidth="1"/>
    <col min="13058" max="13060" width="11.453125" style="2" customWidth="1"/>
    <col min="13061" max="13061" width="10.6328125" style="2" bestFit="1" customWidth="1"/>
    <col min="13062" max="13062" width="11.453125" style="2" customWidth="1"/>
    <col min="13063" max="13063" width="18.81640625" style="2" customWidth="1"/>
    <col min="13064" max="13064" width="13.6328125" style="2" bestFit="1" customWidth="1"/>
    <col min="13065" max="13065" width="11.453125" style="2" customWidth="1"/>
    <col min="13066" max="13066" width="13.6328125" style="2" bestFit="1" customWidth="1"/>
    <col min="13067" max="13068" width="13.453125" style="2" customWidth="1"/>
    <col min="13069" max="13312" width="9.08984375" style="2" customWidth="1"/>
    <col min="13313" max="13313" width="35.6328125" style="2" customWidth="1"/>
    <col min="13314" max="13316" width="11.453125" style="2" customWidth="1"/>
    <col min="13317" max="13317" width="10.6328125" style="2" bestFit="1" customWidth="1"/>
    <col min="13318" max="13318" width="11.453125" style="2" customWidth="1"/>
    <col min="13319" max="13319" width="18.81640625" style="2" customWidth="1"/>
    <col min="13320" max="13320" width="13.6328125" style="2" bestFit="1" customWidth="1"/>
    <col min="13321" max="13321" width="11.453125" style="2" customWidth="1"/>
    <col min="13322" max="13322" width="13.6328125" style="2" bestFit="1" customWidth="1"/>
    <col min="13323" max="13324" width="13.453125" style="2" customWidth="1"/>
    <col min="13325" max="13568" width="9.08984375" style="2" customWidth="1"/>
    <col min="13569" max="13569" width="35.6328125" style="2" customWidth="1"/>
    <col min="13570" max="13572" width="11.453125" style="2" customWidth="1"/>
    <col min="13573" max="13573" width="10.6328125" style="2" bestFit="1" customWidth="1"/>
    <col min="13574" max="13574" width="11.453125" style="2" customWidth="1"/>
    <col min="13575" max="13575" width="18.81640625" style="2" customWidth="1"/>
    <col min="13576" max="13576" width="13.6328125" style="2" bestFit="1" customWidth="1"/>
    <col min="13577" max="13577" width="11.453125" style="2" customWidth="1"/>
    <col min="13578" max="13578" width="13.6328125" style="2" bestFit="1" customWidth="1"/>
    <col min="13579" max="13580" width="13.453125" style="2" customWidth="1"/>
    <col min="13581" max="13824" width="9.08984375" style="2" customWidth="1"/>
    <col min="13825" max="13825" width="35.6328125" style="2" customWidth="1"/>
    <col min="13826" max="13828" width="11.453125" style="2" customWidth="1"/>
    <col min="13829" max="13829" width="10.6328125" style="2" bestFit="1" customWidth="1"/>
    <col min="13830" max="13830" width="11.453125" style="2" customWidth="1"/>
    <col min="13831" max="13831" width="18.81640625" style="2" customWidth="1"/>
    <col min="13832" max="13832" width="13.6328125" style="2" bestFit="1" customWidth="1"/>
    <col min="13833" max="13833" width="11.453125" style="2" customWidth="1"/>
    <col min="13834" max="13834" width="13.6328125" style="2" bestFit="1" customWidth="1"/>
    <col min="13835" max="13836" width="13.453125" style="2" customWidth="1"/>
    <col min="13837" max="14080" width="9.08984375" style="2" customWidth="1"/>
    <col min="14081" max="14081" width="35.6328125" style="2" customWidth="1"/>
    <col min="14082" max="14084" width="11.453125" style="2" customWidth="1"/>
    <col min="14085" max="14085" width="10.6328125" style="2" bestFit="1" customWidth="1"/>
    <col min="14086" max="14086" width="11.453125" style="2" customWidth="1"/>
    <col min="14087" max="14087" width="18.81640625" style="2" customWidth="1"/>
    <col min="14088" max="14088" width="13.6328125" style="2" bestFit="1" customWidth="1"/>
    <col min="14089" max="14089" width="11.453125" style="2" customWidth="1"/>
    <col min="14090" max="14090" width="13.6328125" style="2" bestFit="1" customWidth="1"/>
    <col min="14091" max="14092" width="13.453125" style="2" customWidth="1"/>
    <col min="14093" max="14336" width="9.08984375" style="2" customWidth="1"/>
    <col min="14337" max="14337" width="35.6328125" style="2" customWidth="1"/>
    <col min="14338" max="14340" width="11.453125" style="2" customWidth="1"/>
    <col min="14341" max="14341" width="10.6328125" style="2" bestFit="1" customWidth="1"/>
    <col min="14342" max="14342" width="11.453125" style="2" customWidth="1"/>
    <col min="14343" max="14343" width="18.81640625" style="2" customWidth="1"/>
    <col min="14344" max="14344" width="13.6328125" style="2" bestFit="1" customWidth="1"/>
    <col min="14345" max="14345" width="11.453125" style="2" customWidth="1"/>
    <col min="14346" max="14346" width="13.6328125" style="2" bestFit="1" customWidth="1"/>
    <col min="14347" max="14348" width="13.453125" style="2" customWidth="1"/>
    <col min="14349" max="14592" width="9.08984375" style="2" customWidth="1"/>
    <col min="14593" max="14593" width="35.6328125" style="2" customWidth="1"/>
    <col min="14594" max="14596" width="11.453125" style="2" customWidth="1"/>
    <col min="14597" max="14597" width="10.6328125" style="2" bestFit="1" customWidth="1"/>
    <col min="14598" max="14598" width="11.453125" style="2" customWidth="1"/>
    <col min="14599" max="14599" width="18.81640625" style="2" customWidth="1"/>
    <col min="14600" max="14600" width="13.6328125" style="2" bestFit="1" customWidth="1"/>
    <col min="14601" max="14601" width="11.453125" style="2" customWidth="1"/>
    <col min="14602" max="14602" width="13.6328125" style="2" bestFit="1" customWidth="1"/>
    <col min="14603" max="14604" width="13.453125" style="2" customWidth="1"/>
    <col min="14605" max="14848" width="9.08984375" style="2" customWidth="1"/>
    <col min="14849" max="14849" width="35.6328125" style="2" customWidth="1"/>
    <col min="14850" max="14852" width="11.453125" style="2" customWidth="1"/>
    <col min="14853" max="14853" width="10.6328125" style="2" bestFit="1" customWidth="1"/>
    <col min="14854" max="14854" width="11.453125" style="2" customWidth="1"/>
    <col min="14855" max="14855" width="18.81640625" style="2" customWidth="1"/>
    <col min="14856" max="14856" width="13.6328125" style="2" bestFit="1" customWidth="1"/>
    <col min="14857" max="14857" width="11.453125" style="2" customWidth="1"/>
    <col min="14858" max="14858" width="13.6328125" style="2" bestFit="1" customWidth="1"/>
    <col min="14859" max="14860" width="13.453125" style="2" customWidth="1"/>
    <col min="14861" max="15104" width="9.08984375" style="2" customWidth="1"/>
    <col min="15105" max="15105" width="35.6328125" style="2" customWidth="1"/>
    <col min="15106" max="15108" width="11.453125" style="2" customWidth="1"/>
    <col min="15109" max="15109" width="10.6328125" style="2" bestFit="1" customWidth="1"/>
    <col min="15110" max="15110" width="11.453125" style="2" customWidth="1"/>
    <col min="15111" max="15111" width="18.81640625" style="2" customWidth="1"/>
    <col min="15112" max="15112" width="13.6328125" style="2" bestFit="1" customWidth="1"/>
    <col min="15113" max="15113" width="11.453125" style="2" customWidth="1"/>
    <col min="15114" max="15114" width="13.6328125" style="2" bestFit="1" customWidth="1"/>
    <col min="15115" max="15116" width="13.453125" style="2" customWidth="1"/>
    <col min="15117" max="15360" width="9.08984375" style="2" customWidth="1"/>
    <col min="15361" max="15361" width="35.6328125" style="2" customWidth="1"/>
    <col min="15362" max="15364" width="11.453125" style="2" customWidth="1"/>
    <col min="15365" max="15365" width="10.6328125" style="2" bestFit="1" customWidth="1"/>
    <col min="15366" max="15366" width="11.453125" style="2" customWidth="1"/>
    <col min="15367" max="15367" width="18.81640625" style="2" customWidth="1"/>
    <col min="15368" max="15368" width="13.6328125" style="2" bestFit="1" customWidth="1"/>
    <col min="15369" max="15369" width="11.453125" style="2" customWidth="1"/>
    <col min="15370" max="15370" width="13.6328125" style="2" bestFit="1" customWidth="1"/>
    <col min="15371" max="15372" width="13.453125" style="2" customWidth="1"/>
    <col min="15373" max="15616" width="9.08984375" style="2" customWidth="1"/>
    <col min="15617" max="15617" width="35.6328125" style="2" customWidth="1"/>
    <col min="15618" max="15620" width="11.453125" style="2" customWidth="1"/>
    <col min="15621" max="15621" width="10.6328125" style="2" bestFit="1" customWidth="1"/>
    <col min="15622" max="15622" width="11.453125" style="2" customWidth="1"/>
    <col min="15623" max="15623" width="18.81640625" style="2" customWidth="1"/>
    <col min="15624" max="15624" width="13.6328125" style="2" bestFit="1" customWidth="1"/>
    <col min="15625" max="15625" width="11.453125" style="2" customWidth="1"/>
    <col min="15626" max="15626" width="13.6328125" style="2" bestFit="1" customWidth="1"/>
    <col min="15627" max="15628" width="13.453125" style="2" customWidth="1"/>
    <col min="15629" max="15872" width="9.08984375" style="2" customWidth="1"/>
    <col min="15873" max="15873" width="35.6328125" style="2" customWidth="1"/>
    <col min="15874" max="15876" width="11.453125" style="2" customWidth="1"/>
    <col min="15877" max="15877" width="10.6328125" style="2" bestFit="1" customWidth="1"/>
    <col min="15878" max="15878" width="11.453125" style="2" customWidth="1"/>
    <col min="15879" max="15879" width="18.81640625" style="2" customWidth="1"/>
    <col min="15880" max="15880" width="13.6328125" style="2" bestFit="1" customWidth="1"/>
    <col min="15881" max="15881" width="11.453125" style="2" customWidth="1"/>
    <col min="15882" max="15882" width="13.6328125" style="2" bestFit="1" customWidth="1"/>
    <col min="15883" max="15884" width="13.453125" style="2" customWidth="1"/>
    <col min="15885" max="16128" width="9.08984375" style="2" customWidth="1"/>
    <col min="16129" max="16129" width="35.6328125" style="2" customWidth="1"/>
    <col min="16130" max="16132" width="11.453125" style="2" customWidth="1"/>
    <col min="16133" max="16133" width="10.6328125" style="2" bestFit="1" customWidth="1"/>
    <col min="16134" max="16134" width="11.453125" style="2" customWidth="1"/>
    <col min="16135" max="16135" width="18.81640625" style="2" customWidth="1"/>
    <col min="16136" max="16136" width="13.6328125" style="2" bestFit="1" customWidth="1"/>
    <col min="16137" max="16137" width="11.453125" style="2" customWidth="1"/>
    <col min="16138" max="16138" width="13.6328125" style="2" bestFit="1" customWidth="1"/>
    <col min="16139" max="16140" width="13.453125" style="2" customWidth="1"/>
    <col min="16141" max="16384" width="9.08984375" style="2" customWidth="1"/>
  </cols>
  <sheetData>
    <row r="1" spans="1:13">
      <c r="A1" s="22" t="s">
        <v>236</v>
      </c>
      <c r="B1" s="26"/>
      <c r="C1" s="26"/>
      <c r="D1" s="26"/>
      <c r="E1" s="26"/>
      <c r="F1" s="22"/>
      <c r="G1" s="26"/>
      <c r="H1" s="26"/>
      <c r="I1" s="26"/>
      <c r="J1" s="26"/>
      <c r="K1" s="26"/>
      <c r="L1" s="26"/>
      <c r="M1" s="32"/>
    </row>
    <row r="2" spans="1:13">
      <c r="A2" s="21" t="s">
        <v>237</v>
      </c>
      <c r="B2" s="26"/>
      <c r="C2" s="26"/>
      <c r="D2" s="26"/>
      <c r="E2" s="26"/>
      <c r="F2" s="26"/>
      <c r="G2" s="26"/>
      <c r="H2" s="26"/>
      <c r="I2" s="26"/>
      <c r="J2" s="26"/>
      <c r="K2" s="26"/>
      <c r="L2" s="26"/>
      <c r="M2" s="32"/>
    </row>
    <row r="3" spans="1:13">
      <c r="A3" s="23" t="s">
        <v>238</v>
      </c>
      <c r="B3" s="26"/>
      <c r="C3" s="26"/>
      <c r="D3" s="26"/>
      <c r="E3" s="26"/>
      <c r="F3" s="26"/>
      <c r="G3" s="26"/>
      <c r="H3" s="26"/>
      <c r="I3" s="26"/>
      <c r="J3" s="26"/>
      <c r="K3" s="26"/>
      <c r="L3" s="26"/>
      <c r="M3" s="32"/>
    </row>
    <row r="4" spans="1:13">
      <c r="A4" s="3"/>
      <c r="B4" s="26"/>
      <c r="C4" s="26"/>
      <c r="D4" s="26"/>
      <c r="E4" s="26"/>
      <c r="F4" s="26"/>
      <c r="G4" s="26"/>
      <c r="H4" s="26"/>
      <c r="I4" s="26"/>
      <c r="J4" s="26"/>
      <c r="K4" s="26"/>
      <c r="L4" s="26"/>
      <c r="M4" s="32"/>
    </row>
    <row r="5" spans="1:13">
      <c r="A5" s="4" t="s">
        <v>0</v>
      </c>
      <c r="B5" s="26"/>
      <c r="C5" s="26"/>
      <c r="D5" s="26"/>
      <c r="E5" s="26"/>
      <c r="F5" s="26"/>
      <c r="G5" s="26"/>
      <c r="H5" s="26"/>
      <c r="I5" s="26"/>
      <c r="J5" s="26"/>
      <c r="K5" s="26"/>
      <c r="L5" s="26"/>
      <c r="M5" s="32"/>
    </row>
    <row r="6" spans="1:13">
      <c r="A6" s="94" t="s">
        <v>239</v>
      </c>
      <c r="B6" s="26"/>
      <c r="C6" s="26"/>
      <c r="D6" s="26"/>
      <c r="E6" s="26"/>
      <c r="F6" s="26"/>
      <c r="G6" s="26"/>
      <c r="H6" s="26"/>
      <c r="I6" s="26"/>
      <c r="J6" s="26"/>
      <c r="K6" s="26"/>
      <c r="L6" s="26"/>
      <c r="M6" s="32"/>
    </row>
    <row r="7" spans="1:13" ht="15" thickBot="1">
      <c r="A7" s="105" t="s">
        <v>1</v>
      </c>
      <c r="B7" s="103"/>
      <c r="C7" s="26"/>
      <c r="D7" s="26"/>
      <c r="E7" s="26"/>
      <c r="F7" s="26"/>
      <c r="G7" s="1" t="s">
        <v>2</v>
      </c>
      <c r="H7" s="26"/>
      <c r="I7" s="26"/>
      <c r="J7" s="26"/>
      <c r="K7" s="26"/>
      <c r="L7" s="26"/>
      <c r="M7" s="32"/>
    </row>
    <row r="8" spans="1:13" ht="15.5" thickTop="1" thickBot="1">
      <c r="A8" s="21" t="s">
        <v>146</v>
      </c>
      <c r="B8" s="52">
        <v>0.20499999999999999</v>
      </c>
      <c r="C8" s="26"/>
      <c r="D8" s="94" t="s">
        <v>3</v>
      </c>
      <c r="E8" s="94"/>
      <c r="F8" s="94"/>
      <c r="G8" s="7" t="s">
        <v>4</v>
      </c>
      <c r="H8" s="8" t="s">
        <v>5</v>
      </c>
      <c r="I8" s="8" t="s">
        <v>6</v>
      </c>
      <c r="J8" s="8" t="s">
        <v>7</v>
      </c>
      <c r="K8" s="8" t="s">
        <v>8</v>
      </c>
      <c r="L8" s="8" t="s">
        <v>9</v>
      </c>
      <c r="M8" s="32"/>
    </row>
    <row r="9" spans="1:13" ht="15" thickTop="1">
      <c r="A9" s="21" t="s">
        <v>145</v>
      </c>
      <c r="B9" s="51">
        <v>0.8</v>
      </c>
      <c r="C9" s="26" t="s">
        <v>10</v>
      </c>
      <c r="D9" s="94" t="s">
        <v>11</v>
      </c>
      <c r="E9" s="94"/>
      <c r="F9" s="94"/>
      <c r="G9" s="9">
        <v>0.02</v>
      </c>
      <c r="H9" s="114">
        <f>'Model Coefficients_Subduction'!Z49</f>
        <v>8.1863046221151509E-12</v>
      </c>
      <c r="I9" s="34">
        <f>IF($B$12&gt;0,'Model Coefficients_Subduction'!X49,'Model Coefficients_Subduction'!W49)</f>
        <v>530.46683350891828</v>
      </c>
      <c r="J9" s="34">
        <f>IF(ISERROR(EXP(LN($I9)+$B$24*NORMSINV(1-0.5/(1-$H9)))),"&lt;1",EXP(LN($I9)+$B$24*NORMSINV(1-0.5/(1-$H9))))</f>
        <v>530.46683350483625</v>
      </c>
      <c r="K9" s="34">
        <f>IF(ISERROR(EXP(LN($I9)+$B$24*NORMSINV(1-0.16/(1-$H9)))),"&lt;1",EXP(LN($I9)+$B$24*NORMSINV(1-0.16/(1-$H9))))</f>
        <v>1118.3401422825493</v>
      </c>
      <c r="L9" s="34">
        <f>IF(ISERROR(EXP(LN($I9)+$B$24*NORMSINV(1-0.84/(1-$H9)))),"&lt;1",EXP(LN($I9)+$B$24*NORMSINV(1-0.84/(1-$H9))))</f>
        <v>251.61849316393653</v>
      </c>
      <c r="M9" s="32"/>
    </row>
    <row r="10" spans="1:13">
      <c r="A10" s="21" t="s">
        <v>230</v>
      </c>
      <c r="B10" s="37">
        <f>B9*1.3</f>
        <v>1.04</v>
      </c>
      <c r="C10" s="26" t="s">
        <v>10</v>
      </c>
      <c r="D10" s="26"/>
      <c r="E10" s="26"/>
      <c r="F10" s="26"/>
      <c r="G10" s="35">
        <v>0.05</v>
      </c>
      <c r="H10" s="114">
        <f>'Model Coefficients_Subduction'!Z50</f>
        <v>4.4832981799068543E-9</v>
      </c>
      <c r="I10" s="34">
        <f>IF($B$12&gt;0,'Model Coefficients_Subduction'!X50,'Model Coefficients_Subduction'!W50)</f>
        <v>270.86113095709322</v>
      </c>
      <c r="J10" s="34">
        <f t="shared" ref="J10:J18" si="0">IF(ISERROR(EXP(LN($I10)+$B$24*NORMSINV(1-0.5/(1-$H10)))),"&lt;1",EXP(LN($I10)+$B$24*NORMSINV(1-0.5/(1-$H10))))</f>
        <v>270.86112981562047</v>
      </c>
      <c r="K10" s="34">
        <f t="shared" ref="K10:K18" si="1">IF(ISERROR(EXP(LN($I10)+$B$24*NORMSINV(1-0.16/(1-$H10)))),"&lt;1",EXP(LN($I10)+$B$24*NORMSINV(1-0.16/(1-$H10))))</f>
        <v>571.03452266957174</v>
      </c>
      <c r="L10" s="34">
        <f t="shared" ref="L10:L18" si="2">IF(ISERROR(EXP(LN($I10)+$B$24*NORMSINV(1-0.84/(1-$H10)))),"&lt;1",EXP(LN($I10)+$B$24*NORMSINV(1-0.84/(1-$H10))))</f>
        <v>128.47866168666397</v>
      </c>
      <c r="M10" s="32"/>
    </row>
    <row r="11" spans="1:13">
      <c r="A11" s="21" t="s">
        <v>65</v>
      </c>
      <c r="B11" s="50">
        <v>8</v>
      </c>
      <c r="C11" s="26"/>
      <c r="D11" s="26"/>
      <c r="E11" s="26"/>
      <c r="F11" s="26"/>
      <c r="G11" s="35">
        <v>7.0000000000000007E-2</v>
      </c>
      <c r="H11" s="114">
        <f>'Model Coefficients_Subduction'!Z51</f>
        <v>5.7343056080238026E-8</v>
      </c>
      <c r="I11" s="34">
        <f>IF($B$12&gt;0,'Model Coefficients_Subduction'!X51,'Model Coefficients_Subduction'!W51)</f>
        <v>182.27662116577378</v>
      </c>
      <c r="J11" s="34">
        <f t="shared" si="0"/>
        <v>182.27661134076334</v>
      </c>
      <c r="K11" s="34">
        <f t="shared" si="1"/>
        <v>384.27898561852146</v>
      </c>
      <c r="L11" s="34">
        <f t="shared" si="2"/>
        <v>86.45999910036906</v>
      </c>
      <c r="M11" s="32"/>
    </row>
    <row r="12" spans="1:13">
      <c r="A12" s="21" t="s">
        <v>69</v>
      </c>
      <c r="B12" s="50">
        <v>-1</v>
      </c>
      <c r="C12" s="26" t="s">
        <v>70</v>
      </c>
      <c r="D12" s="94" t="s">
        <v>246</v>
      </c>
      <c r="E12" s="26"/>
      <c r="F12" s="26"/>
      <c r="G12" s="35">
        <v>0.08</v>
      </c>
      <c r="H12" s="114">
        <f>'Model Coefficients_Subduction'!Z52</f>
        <v>1.632426471423331E-7</v>
      </c>
      <c r="I12" s="34">
        <f>IF($B$12&gt;0,'Model Coefficients_Subduction'!X52,'Model Coefficients_Subduction'!W52)</f>
        <v>152.33997028026894</v>
      </c>
      <c r="J12" s="34">
        <f t="shared" si="0"/>
        <v>152.33994690434781</v>
      </c>
      <c r="K12" s="34">
        <f t="shared" si="1"/>
        <v>321.16596092523747</v>
      </c>
      <c r="L12" s="34">
        <f t="shared" si="2"/>
        <v>72.260007879955808</v>
      </c>
      <c r="M12" s="32"/>
    </row>
    <row r="13" spans="1:13">
      <c r="A13" s="24" t="s">
        <v>240</v>
      </c>
      <c r="B13" s="27">
        <v>1</v>
      </c>
      <c r="C13" s="26" t="s">
        <v>12</v>
      </c>
      <c r="D13" s="94" t="s">
        <v>264</v>
      </c>
      <c r="E13" s="94"/>
      <c r="F13" s="94"/>
      <c r="G13" s="35">
        <v>0.1</v>
      </c>
      <c r="H13" s="114">
        <f>'Model Coefficients_Subduction'!Z53</f>
        <v>9.799895561483042E-7</v>
      </c>
      <c r="I13" s="34">
        <f>IF($B$12&gt;0,'Model Coefficients_Subduction'!X53,'Model Coefficients_Subduction'!W53)</f>
        <v>109.74064512405899</v>
      </c>
      <c r="J13" s="34">
        <f t="shared" si="0"/>
        <v>109.74054403354987</v>
      </c>
      <c r="K13" s="34">
        <f t="shared" si="1"/>
        <v>231.35717751404101</v>
      </c>
      <c r="L13" s="34">
        <f t="shared" si="2"/>
        <v>52.053594975052604</v>
      </c>
      <c r="M13" s="32"/>
    </row>
    <row r="14" spans="1:13">
      <c r="A14" s="21" t="s">
        <v>231</v>
      </c>
      <c r="B14" s="28">
        <v>0</v>
      </c>
      <c r="C14" s="26"/>
      <c r="D14" s="94" t="s">
        <v>232</v>
      </c>
      <c r="E14" s="94"/>
      <c r="F14" s="94"/>
      <c r="G14" s="35">
        <v>0.12</v>
      </c>
      <c r="H14" s="114">
        <f>'Model Coefficients_Subduction'!Z54</f>
        <v>4.4154011350240334E-6</v>
      </c>
      <c r="I14" s="34">
        <f>IF($B$12&gt;0,'Model Coefficients_Subduction'!X54,'Model Coefficients_Subduction'!W54)</f>
        <v>81.773382355304136</v>
      </c>
      <c r="J14" s="34">
        <f t="shared" si="0"/>
        <v>81.773042961159973</v>
      </c>
      <c r="K14" s="34">
        <f t="shared" si="1"/>
        <v>172.39580523068756</v>
      </c>
      <c r="L14" s="34">
        <f t="shared" si="2"/>
        <v>38.787457977144314</v>
      </c>
      <c r="M14" s="32"/>
    </row>
    <row r="15" spans="1:13">
      <c r="A15" s="26"/>
      <c r="B15" s="26"/>
      <c r="C15" s="26"/>
      <c r="D15" s="94"/>
      <c r="E15" s="94"/>
      <c r="F15" s="94"/>
      <c r="G15" s="35">
        <v>0.15</v>
      </c>
      <c r="H15" s="114">
        <f>'Model Coefficients_Subduction'!Z55</f>
        <v>2.9296947171157169E-5</v>
      </c>
      <c r="I15" s="34">
        <f>IF($B$12&gt;0,'Model Coefficients_Subduction'!X55,'Model Coefficients_Subduction'!W55)</f>
        <v>55.250729073504409</v>
      </c>
      <c r="J15" s="34">
        <f t="shared" si="0"/>
        <v>55.249207516152801</v>
      </c>
      <c r="K15" s="34">
        <f t="shared" si="1"/>
        <v>116.47894175996966</v>
      </c>
      <c r="L15" s="34">
        <f t="shared" si="2"/>
        <v>26.205315189876938</v>
      </c>
      <c r="M15" s="32"/>
    </row>
    <row r="16" spans="1:13" ht="15" thickBot="1">
      <c r="A16" s="5" t="s">
        <v>13</v>
      </c>
      <c r="B16" s="29"/>
      <c r="C16" s="26"/>
      <c r="D16" s="94"/>
      <c r="E16" s="94"/>
      <c r="F16" s="94"/>
      <c r="G16" s="35">
        <v>0.2</v>
      </c>
      <c r="H16" s="114">
        <f>'Model Coefficients_Subduction'!Z56</f>
        <v>3.6437543855112251E-4</v>
      </c>
      <c r="I16" s="34">
        <f>IF($B$12&gt;0,'Model Coefficients_Subduction'!X56,'Model Coefficients_Subduction'!W56)</f>
        <v>31.638617911211693</v>
      </c>
      <c r="J16" s="34">
        <f t="shared" si="0"/>
        <v>31.627779348593847</v>
      </c>
      <c r="K16" s="34">
        <f t="shared" si="1"/>
        <v>66.689139970448011</v>
      </c>
      <c r="L16" s="34">
        <f t="shared" si="2"/>
        <v>14.993108256172016</v>
      </c>
      <c r="M16" s="32"/>
    </row>
    <row r="17" spans="1:13" ht="15" thickTop="1">
      <c r="A17" s="6" t="s">
        <v>15</v>
      </c>
      <c r="B17" s="28">
        <v>84</v>
      </c>
      <c r="C17" s="26" t="s">
        <v>16</v>
      </c>
      <c r="D17" s="26"/>
      <c r="E17" s="26"/>
      <c r="F17" s="26"/>
      <c r="G17" s="35">
        <v>0.3</v>
      </c>
      <c r="H17" s="114">
        <f>'Model Coefficients_Subduction'!Z57</f>
        <v>1.4653944591172113E-2</v>
      </c>
      <c r="I17" s="34">
        <f>IF($B$12&gt;0,'Model Coefficients_Subduction'!X57,'Model Coefficients_Subduction'!W57)</f>
        <v>13.054120452992576</v>
      </c>
      <c r="J17" s="34">
        <f t="shared" si="0"/>
        <v>12.872891528433749</v>
      </c>
      <c r="K17" s="34">
        <f t="shared" si="1"/>
        <v>27.320786841651341</v>
      </c>
      <c r="L17" s="34">
        <f t="shared" si="2"/>
        <v>5.9519368098546535</v>
      </c>
      <c r="M17" s="32"/>
    </row>
    <row r="18" spans="1:13">
      <c r="A18" s="6" t="s">
        <v>17</v>
      </c>
      <c r="B18" s="28">
        <v>50</v>
      </c>
      <c r="C18" s="26" t="s">
        <v>16</v>
      </c>
      <c r="D18" s="26"/>
      <c r="E18" s="26"/>
      <c r="F18" s="26"/>
      <c r="G18" s="36">
        <v>0.4</v>
      </c>
      <c r="H18" s="114">
        <f>'Model Coefficients_Subduction'!Z58</f>
        <v>0.18745658185206135</v>
      </c>
      <c r="I18" s="34">
        <f>IF($B$12&gt;0,'Model Coefficients_Subduction'!X58,'Model Coefficients_Subduction'!W58)</f>
        <v>6.4907767493637651</v>
      </c>
      <c r="J18" s="34">
        <f t="shared" si="0"/>
        <v>5.209119399672022</v>
      </c>
      <c r="K18" s="34">
        <f t="shared" si="1"/>
        <v>12.303797994223553</v>
      </c>
      <c r="L18" s="34" t="str">
        <f t="shared" si="2"/>
        <v>&lt;1</v>
      </c>
      <c r="M18" s="32"/>
    </row>
    <row r="19" spans="1:13">
      <c r="A19" s="6" t="s">
        <v>18</v>
      </c>
      <c r="B19" s="28">
        <v>16</v>
      </c>
      <c r="C19" s="26" t="s">
        <v>16</v>
      </c>
      <c r="D19" s="26"/>
      <c r="E19" s="26"/>
      <c r="F19" s="26"/>
      <c r="G19" s="26"/>
      <c r="H19" s="26"/>
      <c r="I19" s="26"/>
      <c r="J19" s="26"/>
      <c r="K19" s="26"/>
      <c r="L19" s="26"/>
      <c r="M19" s="32"/>
    </row>
    <row r="20" spans="1:13">
      <c r="A20" s="10" t="s">
        <v>19</v>
      </c>
      <c r="B20" s="27">
        <v>30</v>
      </c>
      <c r="C20" s="26" t="s">
        <v>20</v>
      </c>
      <c r="D20" s="26"/>
      <c r="E20" s="26"/>
      <c r="F20" s="26"/>
      <c r="G20" s="26"/>
      <c r="H20" s="26"/>
      <c r="I20" s="26"/>
      <c r="J20" s="26"/>
      <c r="K20" s="26"/>
      <c r="L20" s="26"/>
      <c r="M20" s="32"/>
    </row>
    <row r="21" spans="1:13">
      <c r="A21" s="6"/>
      <c r="B21" s="26"/>
      <c r="C21" s="26"/>
      <c r="D21" s="26"/>
      <c r="E21" s="26"/>
      <c r="F21" s="26"/>
      <c r="G21" s="26"/>
      <c r="H21" s="26"/>
      <c r="I21" s="26"/>
      <c r="J21" s="26"/>
      <c r="K21" s="26"/>
      <c r="L21" s="26"/>
      <c r="M21" s="32"/>
    </row>
    <row r="22" spans="1:13" ht="15" thickBot="1">
      <c r="A22" s="5" t="s">
        <v>21</v>
      </c>
      <c r="B22" s="29"/>
      <c r="C22" s="26"/>
      <c r="D22" s="26"/>
      <c r="E22" s="26"/>
      <c r="F22" s="26"/>
      <c r="G22" s="26"/>
      <c r="H22" s="26"/>
      <c r="I22" s="26"/>
      <c r="J22" s="26"/>
      <c r="K22" s="26"/>
      <c r="L22" s="26"/>
      <c r="M22" s="32"/>
    </row>
    <row r="23" spans="1:13" ht="15" thickTop="1">
      <c r="A23" s="6" t="s">
        <v>22</v>
      </c>
      <c r="B23" s="37">
        <f>IF(B12&gt;0,'Model Coefficients_Subduction'!Q49,'Model Coefficients_Subduction'!Q48)</f>
        <v>30.0780305516782</v>
      </c>
      <c r="C23" s="26" t="s">
        <v>20</v>
      </c>
      <c r="D23" s="26" t="s">
        <v>241</v>
      </c>
      <c r="E23" s="26">
        <f>+LN(B23)</f>
        <v>3.4037950232572332</v>
      </c>
      <c r="F23" s="26"/>
      <c r="G23" s="26"/>
      <c r="H23" s="26"/>
      <c r="I23" s="26"/>
      <c r="J23" s="26"/>
      <c r="K23" s="26"/>
      <c r="L23" s="26"/>
      <c r="M23" s="32"/>
    </row>
    <row r="24" spans="1:13">
      <c r="A24" s="10" t="s">
        <v>23</v>
      </c>
      <c r="B24" s="30">
        <f>IF(B12&gt;0,'Model Coefficients_Subduction'!R42,'Model Coefficients_Subduction'!R25)</f>
        <v>0.75</v>
      </c>
      <c r="C24" s="26"/>
      <c r="D24" s="26"/>
      <c r="E24" s="26"/>
      <c r="F24" s="26"/>
      <c r="G24" s="26"/>
      <c r="H24" s="26"/>
      <c r="I24" s="26"/>
      <c r="J24" s="26"/>
      <c r="K24" s="26"/>
      <c r="L24" s="26"/>
      <c r="M24" s="32"/>
    </row>
    <row r="25" spans="1:13">
      <c r="A25" s="1"/>
      <c r="B25" s="26"/>
      <c r="C25" s="26"/>
      <c r="D25" s="26"/>
      <c r="E25" s="26"/>
      <c r="F25" s="26"/>
      <c r="G25" s="26"/>
      <c r="H25" s="26"/>
      <c r="I25" s="26"/>
      <c r="J25" s="26"/>
      <c r="K25" s="26"/>
      <c r="L25" s="26"/>
      <c r="M25" s="32"/>
    </row>
    <row r="26" spans="1:13" ht="15" thickBot="1">
      <c r="A26" s="11" t="s">
        <v>24</v>
      </c>
      <c r="B26" s="31"/>
      <c r="C26" s="26"/>
      <c r="D26" s="26"/>
      <c r="E26" s="26"/>
      <c r="F26" s="26"/>
      <c r="G26" s="26"/>
      <c r="H26" s="26"/>
      <c r="I26" s="26"/>
      <c r="J26" s="26"/>
      <c r="K26" s="26"/>
      <c r="L26" s="26"/>
      <c r="M26" s="32"/>
    </row>
    <row r="27" spans="1:13" ht="15" thickTop="1">
      <c r="A27" s="6" t="s">
        <v>25</v>
      </c>
      <c r="B27" s="99">
        <f xml:space="preserve"> EXP('Model Coefficients_Subduction'!Q50)/(1+EXP('Model Coefficients_Subduction'!Q50))</f>
        <v>4.5429645594875458E-4</v>
      </c>
      <c r="C27" s="1"/>
      <c r="D27" s="6" t="s">
        <v>242</v>
      </c>
      <c r="E27" s="26"/>
      <c r="F27" s="26"/>
      <c r="G27" s="26"/>
      <c r="H27" s="26"/>
      <c r="I27" s="26"/>
      <c r="J27" s="26"/>
      <c r="K27" s="26"/>
      <c r="L27" s="26"/>
      <c r="M27" s="32"/>
    </row>
    <row r="28" spans="1:13">
      <c r="A28" s="6" t="s">
        <v>26</v>
      </c>
      <c r="B28" s="100">
        <f>IF(ISERROR(EXP(LN($B$23)+$B$24*NORMSINV(1-($B$17/100)/(1-$B$27)))),"&lt;0.5",EXP(LN($B$23)+$B$24*NORMSINV(1-($B$17/100)/(1-$B$27))))</f>
        <v>14.250241586844753</v>
      </c>
      <c r="C28" s="26" t="s">
        <v>20</v>
      </c>
      <c r="D28" s="12" t="s">
        <v>243</v>
      </c>
      <c r="E28" s="26"/>
      <c r="F28" s="26"/>
      <c r="G28" s="26"/>
      <c r="H28" s="26"/>
      <c r="I28" s="26"/>
      <c r="J28" s="26"/>
      <c r="K28" s="26"/>
      <c r="L28" s="26"/>
      <c r="M28" s="32"/>
    </row>
    <row r="29" spans="1:13">
      <c r="A29" s="6" t="s">
        <v>27</v>
      </c>
      <c r="B29" s="100">
        <f>IF(ISERROR(EXP(LN($B$23)+$B$24*NORMSINV(1-($B$18/100)/(1-$B$27)))),"&lt;0.5",EXP(LN($B$23)+$B$24*NORMSINV(1-($B$18/100)/(1-$B$27))))</f>
        <v>30.065183172387087</v>
      </c>
      <c r="C29" s="26" t="s">
        <v>20</v>
      </c>
      <c r="D29" s="26" t="s">
        <v>243</v>
      </c>
      <c r="E29" s="26"/>
      <c r="F29" s="26"/>
      <c r="G29" s="26"/>
      <c r="H29" s="26"/>
      <c r="I29" s="26"/>
      <c r="J29" s="26"/>
      <c r="K29" s="26"/>
      <c r="L29" s="26"/>
      <c r="M29" s="32"/>
    </row>
    <row r="30" spans="1:13">
      <c r="A30" s="6" t="s">
        <v>28</v>
      </c>
      <c r="B30" s="100">
        <f>IF(ISERROR(EXP(LN($B$23)+$B$24*NORMSINV(1-($B$19/100)/(1-$B$27)))),"&lt;0.5",EXP(LN($B$23)+$B$24*NORMSINV(1-($B$19/100)/(1-$B$27))))</f>
        <v>63.396858557049008</v>
      </c>
      <c r="C30" s="26" t="s">
        <v>20</v>
      </c>
      <c r="D30" s="26" t="s">
        <v>243</v>
      </c>
      <c r="E30" s="26"/>
      <c r="F30" s="26"/>
      <c r="G30" s="26"/>
      <c r="H30" s="26"/>
      <c r="I30" s="26"/>
      <c r="J30" s="26"/>
      <c r="K30" s="26"/>
      <c r="L30" s="26"/>
      <c r="M30" s="32"/>
    </row>
    <row r="31" spans="1:13">
      <c r="A31" s="10" t="s">
        <v>29</v>
      </c>
      <c r="B31" s="101">
        <f>+(1-$B$27)*(1-NORMSDIST((LN($B$20)-LN($B$23))/$B$24))</f>
        <v>0.50115396670414858</v>
      </c>
      <c r="C31" s="26"/>
      <c r="D31" s="6" t="s">
        <v>244</v>
      </c>
      <c r="E31" s="26"/>
      <c r="F31" s="26"/>
      <c r="G31" s="26"/>
      <c r="H31" s="26"/>
      <c r="I31" s="26"/>
      <c r="J31" s="26"/>
      <c r="K31" s="26"/>
      <c r="L31" s="26"/>
      <c r="M31" s="32"/>
    </row>
    <row r="32" spans="1:13">
      <c r="A32" s="26"/>
      <c r="B32" s="26"/>
      <c r="C32" s="26"/>
      <c r="D32" s="26"/>
      <c r="E32" s="26"/>
      <c r="F32" s="26"/>
      <c r="G32" s="26"/>
      <c r="H32" s="26"/>
      <c r="I32" s="26"/>
      <c r="J32" s="26"/>
      <c r="K32" s="26"/>
      <c r="L32" s="26"/>
      <c r="M32" s="32"/>
    </row>
    <row r="33" spans="1:26">
      <c r="A33" s="22" t="s">
        <v>30</v>
      </c>
      <c r="B33" s="26"/>
      <c r="C33" s="26"/>
      <c r="D33" s="26"/>
      <c r="E33" s="26"/>
      <c r="F33" s="26"/>
      <c r="G33" s="26"/>
      <c r="H33" s="26"/>
      <c r="I33" s="26"/>
      <c r="J33" s="26"/>
      <c r="K33" s="26"/>
      <c r="L33" s="26"/>
      <c r="M33" s="32"/>
    </row>
    <row r="34" spans="1:26">
      <c r="A34" s="25" t="s">
        <v>31</v>
      </c>
      <c r="B34"/>
      <c r="C34"/>
      <c r="D34"/>
      <c r="E34"/>
      <c r="F34"/>
      <c r="G34" s="26"/>
      <c r="H34" s="26"/>
      <c r="I34" s="26"/>
      <c r="J34" s="26"/>
      <c r="K34" s="26"/>
      <c r="L34" s="26"/>
      <c r="M34" s="32"/>
    </row>
    <row r="35" spans="1:26">
      <c r="A35" s="25" t="s">
        <v>32</v>
      </c>
      <c r="B35"/>
      <c r="C35"/>
      <c r="D35"/>
      <c r="E35"/>
      <c r="F35"/>
      <c r="G35" s="26"/>
      <c r="H35" s="26"/>
      <c r="I35" s="26"/>
      <c r="J35" s="26"/>
      <c r="K35" s="26"/>
      <c r="L35" s="26"/>
      <c r="M35" s="32"/>
    </row>
    <row r="36" spans="1:26">
      <c r="A36" s="25" t="s">
        <v>33</v>
      </c>
      <c r="B36"/>
      <c r="C36"/>
      <c r="D36"/>
      <c r="E36"/>
      <c r="F36"/>
      <c r="G36" s="26"/>
      <c r="H36" s="26"/>
      <c r="I36" s="26"/>
      <c r="J36" s="26"/>
      <c r="K36" s="26"/>
      <c r="L36" s="26"/>
      <c r="M36" s="32"/>
    </row>
    <row r="37" spans="1:26">
      <c r="A37" s="25" t="s">
        <v>34</v>
      </c>
      <c r="B37"/>
      <c r="C37"/>
      <c r="D37"/>
      <c r="E37"/>
      <c r="F37"/>
      <c r="G37" s="26"/>
      <c r="H37" s="26"/>
      <c r="I37" s="26"/>
      <c r="J37" s="26"/>
      <c r="K37" s="26"/>
      <c r="L37" s="26"/>
      <c r="M37" s="32"/>
    </row>
    <row r="38" spans="1:26">
      <c r="A38" s="25" t="s">
        <v>35</v>
      </c>
      <c r="B38"/>
      <c r="C38"/>
      <c r="D38"/>
      <c r="E38"/>
      <c r="F38"/>
      <c r="G38" s="26"/>
      <c r="H38" s="26"/>
      <c r="I38" s="26"/>
      <c r="J38" s="26"/>
      <c r="K38" s="26"/>
      <c r="L38" s="26"/>
      <c r="M38" s="32"/>
    </row>
    <row r="39" spans="1:26">
      <c r="A39" s="141" t="s">
        <v>36</v>
      </c>
      <c r="B39"/>
      <c r="C39"/>
      <c r="D39"/>
      <c r="E39"/>
      <c r="F39"/>
      <c r="G39" s="26"/>
      <c r="H39" s="26"/>
      <c r="I39" s="26"/>
      <c r="J39" s="26"/>
      <c r="K39" s="26"/>
      <c r="L39" s="26"/>
      <c r="M39" s="32"/>
    </row>
    <row r="40" spans="1:26">
      <c r="A40" s="25" t="s">
        <v>67</v>
      </c>
      <c r="B40"/>
      <c r="C40"/>
      <c r="D40"/>
      <c r="E40"/>
      <c r="F40"/>
      <c r="G40" s="26"/>
      <c r="H40" s="26"/>
      <c r="I40" s="26"/>
      <c r="J40" s="26"/>
      <c r="K40" s="26"/>
      <c r="L40" s="26"/>
      <c r="M40" s="32"/>
    </row>
    <row r="41" spans="1:26">
      <c r="A41" s="25" t="s">
        <v>144</v>
      </c>
      <c r="B41"/>
      <c r="C41"/>
      <c r="D41"/>
      <c r="E41"/>
      <c r="F41"/>
      <c r="G41" s="26"/>
      <c r="H41" s="26"/>
      <c r="I41" s="26"/>
      <c r="J41" s="26"/>
      <c r="K41" s="26"/>
      <c r="L41" s="26"/>
      <c r="M41" s="32"/>
    </row>
    <row r="42" spans="1:26">
      <c r="A42" s="25" t="s">
        <v>143</v>
      </c>
      <c r="B42"/>
      <c r="C42"/>
      <c r="D42"/>
      <c r="E42"/>
      <c r="F42"/>
      <c r="G42" s="26"/>
      <c r="H42" s="26"/>
      <c r="I42" s="26"/>
      <c r="J42" s="26"/>
      <c r="K42" s="26"/>
      <c r="L42" s="26"/>
      <c r="M42" s="32"/>
    </row>
    <row r="43" spans="1:26">
      <c r="A43" s="25" t="s">
        <v>268</v>
      </c>
      <c r="B43"/>
      <c r="C43"/>
      <c r="D43"/>
      <c r="E43"/>
      <c r="F43"/>
      <c r="G43" s="26"/>
      <c r="H43" s="26"/>
      <c r="I43" s="26"/>
      <c r="J43" s="26"/>
      <c r="K43" s="26"/>
      <c r="L43" s="26"/>
      <c r="M43" s="32"/>
    </row>
    <row r="44" spans="1:26">
      <c r="A44" s="141" t="s">
        <v>267</v>
      </c>
      <c r="B44"/>
      <c r="C44"/>
      <c r="D44"/>
      <c r="E44"/>
      <c r="F44"/>
      <c r="G44" s="26"/>
      <c r="H44" s="26"/>
      <c r="I44" s="26"/>
      <c r="J44" s="26"/>
      <c r="K44" s="26"/>
      <c r="L44" s="26"/>
      <c r="M44" s="32"/>
    </row>
    <row r="45" spans="1:26">
      <c r="A45" s="141" t="s">
        <v>66</v>
      </c>
      <c r="B45"/>
      <c r="C45"/>
      <c r="D45"/>
      <c r="E45"/>
      <c r="F45"/>
      <c r="G45" s="26"/>
      <c r="H45" s="26"/>
      <c r="I45" s="26"/>
      <c r="J45" s="26"/>
      <c r="K45" s="26"/>
      <c r="L45" s="26"/>
      <c r="M45" s="32"/>
    </row>
    <row r="46" spans="1:26">
      <c r="A46" s="49"/>
      <c r="B46"/>
      <c r="C46"/>
      <c r="D46"/>
      <c r="E46"/>
      <c r="F46"/>
      <c r="G46" s="26"/>
      <c r="H46" s="26"/>
      <c r="I46" s="26"/>
      <c r="J46" s="26"/>
      <c r="K46" s="26"/>
      <c r="L46" s="26"/>
      <c r="M46" s="32"/>
    </row>
    <row r="47" spans="1:26">
      <c r="A47" s="26"/>
      <c r="B47" s="26"/>
      <c r="C47" s="26"/>
      <c r="D47" s="26"/>
      <c r="E47" s="26"/>
      <c r="F47" s="26"/>
      <c r="G47" s="26"/>
      <c r="H47" s="26"/>
      <c r="I47" s="26"/>
      <c r="J47" s="26"/>
      <c r="K47" s="26"/>
      <c r="L47" s="26"/>
      <c r="M47" s="32"/>
      <c r="N47" s="32"/>
      <c r="O47" s="32"/>
      <c r="P47" s="32"/>
      <c r="Q47" s="32"/>
      <c r="R47" s="32"/>
      <c r="S47" s="32"/>
      <c r="T47" s="32"/>
      <c r="U47" s="32"/>
      <c r="V47" s="32"/>
      <c r="W47" s="32"/>
      <c r="X47" s="32"/>
      <c r="Y47" s="32"/>
      <c r="Z47" s="32"/>
    </row>
    <row r="48" spans="1:26">
      <c r="A48" s="26"/>
      <c r="B48" s="26"/>
      <c r="C48" s="26"/>
      <c r="D48" s="26"/>
      <c r="E48" s="26"/>
      <c r="F48" s="26"/>
      <c r="G48" s="26"/>
      <c r="H48" s="26"/>
      <c r="I48" s="26"/>
      <c r="J48" s="26"/>
      <c r="K48" s="26"/>
      <c r="L48" s="26"/>
      <c r="M48" s="32"/>
      <c r="N48" s="32"/>
      <c r="O48" s="32"/>
      <c r="P48" s="32"/>
      <c r="Q48" s="32"/>
      <c r="R48" s="32"/>
      <c r="S48" s="32"/>
      <c r="T48" s="32"/>
      <c r="U48" s="32"/>
      <c r="V48" s="32"/>
      <c r="W48" s="32"/>
      <c r="X48" s="32"/>
      <c r="Y48" s="32"/>
      <c r="Z48" s="32"/>
    </row>
    <row r="49" spans="1:26">
      <c r="A49" s="26"/>
      <c r="B49" s="26"/>
      <c r="C49" s="26"/>
      <c r="D49" s="26"/>
      <c r="E49" s="26"/>
      <c r="F49" s="26"/>
      <c r="G49" s="26"/>
      <c r="H49" s="26"/>
      <c r="I49" s="26"/>
      <c r="J49" s="26"/>
      <c r="K49" s="26"/>
      <c r="L49" s="26"/>
      <c r="M49" s="32"/>
      <c r="N49" s="32"/>
      <c r="O49" s="32"/>
      <c r="P49" s="32"/>
      <c r="Q49" s="32"/>
      <c r="R49" s="32"/>
      <c r="S49" s="32"/>
      <c r="T49" s="32"/>
      <c r="U49" s="32"/>
      <c r="V49" s="32"/>
      <c r="W49" s="32"/>
      <c r="X49" s="32"/>
      <c r="Y49" s="32"/>
      <c r="Z49" s="32"/>
    </row>
    <row r="50" spans="1:26">
      <c r="A50" s="26"/>
      <c r="B50" s="26"/>
      <c r="C50" s="26"/>
      <c r="D50" s="26"/>
      <c r="E50" s="26"/>
      <c r="F50" s="26"/>
      <c r="G50" s="26"/>
      <c r="H50" s="26"/>
      <c r="I50" s="26"/>
      <c r="J50" s="26"/>
      <c r="K50" s="26"/>
      <c r="L50" s="26"/>
      <c r="M50" s="32"/>
      <c r="N50" s="32"/>
      <c r="O50" s="32"/>
      <c r="P50" s="32"/>
      <c r="Q50" s="32"/>
      <c r="R50" s="32"/>
      <c r="S50" s="32"/>
      <c r="T50" s="32"/>
      <c r="U50" s="32"/>
      <c r="V50" s="32"/>
      <c r="W50" s="32"/>
      <c r="X50" s="32"/>
      <c r="Y50" s="32"/>
      <c r="Z50" s="32"/>
    </row>
    <row r="51" spans="1:26">
      <c r="A51" s="26"/>
      <c r="B51" s="26"/>
      <c r="C51" s="26"/>
      <c r="D51" s="26"/>
      <c r="E51" s="26"/>
      <c r="F51" s="26"/>
      <c r="G51" s="26"/>
      <c r="H51" s="26"/>
      <c r="I51" s="26"/>
      <c r="J51" s="26"/>
      <c r="K51" s="26"/>
      <c r="L51" s="26"/>
      <c r="M51" s="32"/>
      <c r="N51" s="32"/>
      <c r="O51" s="32"/>
      <c r="P51" s="32"/>
      <c r="Q51" s="32"/>
      <c r="R51" s="32"/>
      <c r="S51" s="32"/>
      <c r="T51" s="32"/>
      <c r="U51" s="32"/>
      <c r="V51" s="32"/>
      <c r="W51" s="32"/>
      <c r="X51" s="32"/>
      <c r="Y51" s="32"/>
      <c r="Z51" s="32"/>
    </row>
    <row r="52" spans="1:26">
      <c r="A52" s="26"/>
      <c r="B52" s="26"/>
      <c r="C52" s="26"/>
      <c r="D52" s="26"/>
      <c r="E52" s="26"/>
      <c r="F52" s="26"/>
      <c r="G52" s="26"/>
      <c r="H52" s="26"/>
      <c r="I52" s="26"/>
      <c r="J52" s="26"/>
      <c r="K52" s="26"/>
      <c r="L52" s="26"/>
      <c r="M52" s="32"/>
      <c r="N52" s="32"/>
      <c r="O52" s="32"/>
      <c r="P52" s="32"/>
      <c r="Q52" s="32"/>
      <c r="R52" s="32"/>
      <c r="S52" s="32"/>
      <c r="T52" s="32"/>
      <c r="U52" s="32"/>
      <c r="V52" s="32"/>
      <c r="W52" s="32"/>
      <c r="X52" s="32"/>
      <c r="Y52" s="32"/>
      <c r="Z52" s="32"/>
    </row>
    <row r="53" spans="1:26">
      <c r="A53" s="26"/>
      <c r="B53" s="26"/>
      <c r="C53" s="26"/>
      <c r="D53" s="26"/>
      <c r="E53" s="26"/>
      <c r="F53" s="26"/>
      <c r="G53" s="26"/>
      <c r="H53" s="26"/>
      <c r="I53" s="26"/>
      <c r="J53" s="26"/>
      <c r="K53" s="26"/>
      <c r="L53" s="26"/>
      <c r="M53" s="32"/>
      <c r="N53" s="32"/>
      <c r="O53" s="32"/>
      <c r="P53" s="32"/>
      <c r="Q53" s="32"/>
      <c r="R53" s="32"/>
      <c r="S53" s="32"/>
      <c r="T53" s="32"/>
      <c r="U53" s="32"/>
      <c r="V53" s="32"/>
      <c r="W53" s="32"/>
      <c r="X53" s="32"/>
      <c r="Y53" s="32"/>
      <c r="Z53" s="32"/>
    </row>
    <row r="54" spans="1:26">
      <c r="A54" s="26"/>
      <c r="B54" s="26"/>
      <c r="C54" s="26"/>
      <c r="D54" s="26"/>
      <c r="E54" s="26"/>
      <c r="F54" s="26"/>
      <c r="G54" s="26"/>
      <c r="H54" s="26"/>
      <c r="I54" s="26"/>
      <c r="J54" s="26"/>
      <c r="K54" s="26"/>
      <c r="L54" s="26"/>
      <c r="M54" s="32"/>
      <c r="N54" s="32"/>
      <c r="O54" s="32"/>
      <c r="P54" s="32"/>
      <c r="Q54" s="32"/>
      <c r="R54" s="32"/>
      <c r="S54" s="32"/>
      <c r="T54" s="32"/>
      <c r="U54" s="32"/>
      <c r="V54" s="32"/>
      <c r="W54" s="32"/>
      <c r="X54" s="32"/>
      <c r="Y54" s="32"/>
      <c r="Z54" s="32"/>
    </row>
    <row r="55" spans="1:26">
      <c r="A55" s="26"/>
      <c r="B55" s="26"/>
      <c r="C55" s="26"/>
      <c r="D55" s="26"/>
      <c r="E55" s="26"/>
      <c r="F55" s="26"/>
      <c r="G55" s="26"/>
      <c r="H55" s="26"/>
      <c r="I55" s="26"/>
      <c r="J55" s="26"/>
      <c r="K55" s="26"/>
      <c r="L55" s="26"/>
      <c r="M55" s="32"/>
      <c r="N55" s="32"/>
      <c r="O55" s="32"/>
      <c r="P55" s="32"/>
      <c r="Q55" s="32"/>
      <c r="R55" s="32"/>
      <c r="S55" s="32"/>
      <c r="T55" s="32"/>
      <c r="U55" s="32"/>
      <c r="V55" s="32"/>
      <c r="W55" s="32"/>
      <c r="X55" s="32"/>
      <c r="Y55" s="32"/>
      <c r="Z55" s="32"/>
    </row>
    <row r="56" spans="1:26">
      <c r="A56" s="26"/>
      <c r="B56" s="26"/>
      <c r="C56" s="26"/>
      <c r="D56" s="26"/>
      <c r="E56" s="26"/>
      <c r="F56" s="26"/>
      <c r="G56" s="26"/>
      <c r="H56" s="26"/>
      <c r="I56" s="26"/>
      <c r="J56" s="26"/>
      <c r="K56" s="26"/>
      <c r="L56" s="26"/>
      <c r="M56" s="32"/>
      <c r="N56" s="32"/>
      <c r="O56" s="32"/>
      <c r="P56" s="32"/>
      <c r="Q56" s="32"/>
      <c r="R56" s="32"/>
      <c r="S56" s="32"/>
      <c r="T56" s="32"/>
      <c r="U56" s="32"/>
      <c r="V56" s="32"/>
      <c r="W56" s="32"/>
      <c r="X56" s="32"/>
      <c r="Y56" s="32"/>
      <c r="Z56" s="32"/>
    </row>
    <row r="57" spans="1:26">
      <c r="A57" s="126" t="s">
        <v>262</v>
      </c>
      <c r="B57" s="26"/>
      <c r="C57" s="26"/>
      <c r="D57" s="26"/>
      <c r="E57" s="26"/>
      <c r="F57" s="26"/>
      <c r="G57" s="26"/>
      <c r="H57" s="26"/>
      <c r="I57" s="26"/>
      <c r="J57" s="26"/>
      <c r="K57" s="26"/>
      <c r="L57" s="26"/>
      <c r="M57" s="32"/>
      <c r="N57" s="32"/>
      <c r="O57" s="32"/>
      <c r="P57" s="32"/>
      <c r="Q57" s="32"/>
      <c r="R57" s="32"/>
      <c r="S57" s="32"/>
      <c r="T57" s="32"/>
      <c r="U57" s="32"/>
      <c r="V57" s="32"/>
      <c r="W57" s="32"/>
      <c r="X57" s="32"/>
      <c r="Y57" s="32"/>
      <c r="Z57" s="32"/>
    </row>
    <row r="58" spans="1:26">
      <c r="A58" s="126" t="s">
        <v>265</v>
      </c>
      <c r="B58" s="26"/>
      <c r="C58" s="26"/>
      <c r="D58" s="26"/>
      <c r="E58" s="26"/>
      <c r="F58" s="26"/>
      <c r="G58" s="26"/>
      <c r="H58" s="26"/>
      <c r="I58" s="26"/>
      <c r="J58" s="26"/>
      <c r="K58" s="26"/>
      <c r="L58" s="26"/>
      <c r="M58" s="32"/>
      <c r="N58" s="32"/>
      <c r="O58" s="32"/>
      <c r="P58" s="32"/>
      <c r="Q58" s="32"/>
      <c r="R58" s="32"/>
      <c r="S58" s="32"/>
      <c r="T58" s="32"/>
      <c r="U58" s="32"/>
      <c r="V58" s="32"/>
      <c r="W58" s="32"/>
      <c r="X58" s="32"/>
      <c r="Y58" s="32"/>
      <c r="Z58" s="32"/>
    </row>
    <row r="59" spans="1:26">
      <c r="A59" s="26"/>
      <c r="B59" s="26"/>
      <c r="C59" s="26"/>
      <c r="D59" s="26"/>
      <c r="E59" s="26"/>
      <c r="F59" s="26"/>
      <c r="G59" s="26"/>
      <c r="H59" s="26"/>
      <c r="I59" s="26"/>
      <c r="J59" s="26"/>
      <c r="K59" s="26"/>
      <c r="L59" s="26"/>
      <c r="M59" s="32"/>
      <c r="N59" s="32"/>
      <c r="O59" s="32"/>
      <c r="P59" s="32"/>
      <c r="Q59" s="32"/>
      <c r="R59" s="32"/>
      <c r="S59" s="32"/>
      <c r="T59" s="32"/>
      <c r="U59" s="32"/>
      <c r="V59" s="32"/>
      <c r="W59" s="32"/>
      <c r="X59" s="32"/>
      <c r="Y59" s="32"/>
      <c r="Z59" s="32"/>
    </row>
    <row r="60" spans="1:26">
      <c r="A60" s="26"/>
      <c r="B60" s="26"/>
      <c r="C60" s="26"/>
      <c r="D60" s="26"/>
      <c r="E60" s="26"/>
      <c r="F60" s="26"/>
      <c r="G60" s="26"/>
      <c r="H60" s="26"/>
      <c r="I60" s="26"/>
      <c r="J60" s="26"/>
      <c r="K60" s="26"/>
      <c r="L60" s="26"/>
      <c r="M60" s="32"/>
      <c r="N60" s="32"/>
      <c r="O60" s="32"/>
      <c r="P60" s="32"/>
      <c r="Q60" s="32"/>
      <c r="R60" s="32"/>
      <c r="S60" s="32"/>
      <c r="T60" s="32"/>
      <c r="U60" s="32"/>
      <c r="V60" s="32"/>
      <c r="W60" s="32"/>
      <c r="X60" s="32"/>
      <c r="Y60" s="32"/>
      <c r="Z60" s="32"/>
    </row>
    <row r="61" spans="1:26">
      <c r="A61" s="26"/>
      <c r="B61" s="26"/>
      <c r="C61" s="26"/>
      <c r="D61" s="26"/>
      <c r="E61" s="26"/>
      <c r="F61" s="26"/>
      <c r="G61" s="26"/>
      <c r="H61" s="26"/>
      <c r="I61" s="26"/>
      <c r="J61" s="26"/>
      <c r="K61" s="26"/>
      <c r="L61" s="26"/>
      <c r="M61" s="32"/>
      <c r="N61" s="32"/>
      <c r="O61" s="32"/>
      <c r="P61" s="32"/>
      <c r="Q61" s="32"/>
      <c r="R61" s="32"/>
      <c r="S61" s="32"/>
      <c r="T61" s="32"/>
      <c r="U61" s="32"/>
      <c r="V61" s="32"/>
      <c r="W61" s="32"/>
      <c r="X61" s="32"/>
      <c r="Y61" s="32"/>
      <c r="Z61" s="32"/>
    </row>
    <row r="62" spans="1:26">
      <c r="A62" s="26"/>
      <c r="B62" s="26"/>
      <c r="C62" s="26"/>
      <c r="D62" s="26"/>
      <c r="E62" s="26"/>
      <c r="F62" s="26"/>
      <c r="G62" s="26"/>
      <c r="H62" s="26"/>
      <c r="I62" s="26"/>
      <c r="J62" s="26"/>
      <c r="K62" s="26"/>
      <c r="L62" s="26"/>
      <c r="M62" s="32"/>
      <c r="N62" s="32"/>
      <c r="O62" s="32"/>
      <c r="P62" s="32"/>
      <c r="Q62" s="32"/>
      <c r="R62" s="32"/>
      <c r="S62" s="32"/>
      <c r="T62" s="32"/>
      <c r="U62" s="32"/>
      <c r="V62" s="32"/>
      <c r="W62" s="32"/>
      <c r="X62" s="32"/>
      <c r="Y62" s="32"/>
      <c r="Z62" s="32"/>
    </row>
    <row r="63" spans="1:26">
      <c r="A63" s="26"/>
      <c r="B63" s="26"/>
      <c r="C63" s="26"/>
      <c r="D63" s="26"/>
      <c r="E63" s="26"/>
      <c r="F63" s="26"/>
      <c r="G63" s="26"/>
      <c r="H63" s="26"/>
      <c r="I63" s="26"/>
      <c r="J63" s="26"/>
      <c r="K63" s="26"/>
      <c r="L63" s="26"/>
      <c r="M63" s="32"/>
      <c r="N63" s="32"/>
      <c r="O63" s="32"/>
      <c r="P63" s="32"/>
      <c r="Q63" s="32"/>
      <c r="R63" s="32"/>
      <c r="S63" s="32"/>
      <c r="T63" s="32"/>
      <c r="U63" s="32"/>
      <c r="V63" s="32"/>
      <c r="W63" s="32"/>
      <c r="X63" s="32"/>
      <c r="Y63" s="32"/>
      <c r="Z63" s="32"/>
    </row>
    <row r="64" spans="1:26">
      <c r="A64" s="26"/>
      <c r="B64" s="26"/>
      <c r="C64" s="26"/>
      <c r="D64" s="26"/>
      <c r="E64" s="26"/>
      <c r="F64" s="26"/>
      <c r="G64" s="26"/>
      <c r="H64" s="26"/>
      <c r="I64" s="26"/>
      <c r="J64" s="26"/>
      <c r="K64" s="26"/>
      <c r="L64" s="26"/>
      <c r="M64" s="32"/>
      <c r="N64" s="32"/>
      <c r="O64" s="32"/>
      <c r="P64" s="32"/>
      <c r="Q64" s="32"/>
      <c r="R64" s="32"/>
      <c r="S64" s="32"/>
      <c r="T64" s="32"/>
      <c r="U64" s="32"/>
      <c r="V64" s="32"/>
      <c r="W64" s="32"/>
      <c r="X64" s="32"/>
      <c r="Y64" s="32"/>
      <c r="Z64" s="32"/>
    </row>
    <row r="65" spans="1:26">
      <c r="A65" s="26"/>
      <c r="B65" s="26"/>
      <c r="C65" s="26"/>
      <c r="D65" s="26"/>
      <c r="E65" s="26"/>
      <c r="F65" s="26"/>
      <c r="G65" s="26"/>
      <c r="H65" s="26"/>
      <c r="I65" s="26"/>
      <c r="J65" s="26"/>
      <c r="K65" s="26"/>
      <c r="L65" s="26"/>
      <c r="M65" s="32"/>
      <c r="N65" s="32"/>
      <c r="O65" s="32"/>
      <c r="P65" s="32"/>
      <c r="Q65" s="32"/>
      <c r="R65" s="32"/>
      <c r="S65" s="32"/>
      <c r="T65" s="32"/>
      <c r="U65" s="32"/>
      <c r="V65" s="32"/>
      <c r="W65" s="32"/>
      <c r="X65" s="32"/>
      <c r="Y65" s="32"/>
      <c r="Z65" s="32"/>
    </row>
    <row r="66" spans="1:26">
      <c r="A66" s="26"/>
      <c r="B66" s="26"/>
      <c r="C66" s="26"/>
      <c r="D66" s="26"/>
      <c r="E66" s="26"/>
      <c r="F66" s="26"/>
      <c r="G66" s="26"/>
      <c r="H66" s="26"/>
      <c r="I66" s="26"/>
      <c r="J66" s="26"/>
      <c r="K66" s="26"/>
      <c r="L66" s="26"/>
      <c r="M66" s="32"/>
      <c r="N66" s="32"/>
      <c r="O66" s="32"/>
      <c r="P66" s="32"/>
      <c r="Q66" s="32"/>
      <c r="R66" s="32"/>
      <c r="S66" s="32"/>
      <c r="T66" s="32"/>
      <c r="U66" s="32"/>
      <c r="V66" s="32"/>
      <c r="W66" s="32"/>
      <c r="X66" s="32"/>
      <c r="Y66" s="32"/>
      <c r="Z66" s="32"/>
    </row>
    <row r="67" spans="1:26">
      <c r="A67" s="26"/>
      <c r="B67" s="26"/>
      <c r="C67" s="26"/>
      <c r="D67" s="26"/>
      <c r="E67" s="26"/>
      <c r="F67" s="26"/>
      <c r="G67" s="26"/>
      <c r="H67" s="26"/>
      <c r="I67" s="26"/>
      <c r="J67" s="26"/>
      <c r="K67" s="26"/>
      <c r="L67" s="26"/>
      <c r="M67" s="32"/>
      <c r="N67" s="32"/>
      <c r="O67" s="32"/>
      <c r="P67" s="32"/>
      <c r="Q67" s="32"/>
      <c r="R67" s="32"/>
      <c r="S67" s="32"/>
      <c r="T67" s="32"/>
      <c r="U67" s="32"/>
      <c r="V67" s="32"/>
      <c r="W67" s="32"/>
      <c r="X67" s="32"/>
      <c r="Y67" s="32"/>
      <c r="Z67" s="32"/>
    </row>
    <row r="68" spans="1:26">
      <c r="A68" s="26"/>
      <c r="B68" s="26"/>
      <c r="C68" s="26"/>
      <c r="D68" s="26"/>
      <c r="E68" s="26"/>
      <c r="F68" s="26"/>
      <c r="G68" s="26"/>
      <c r="H68" s="26"/>
      <c r="I68" s="26"/>
      <c r="J68" s="26"/>
      <c r="K68" s="26"/>
      <c r="L68" s="26"/>
      <c r="M68" s="32"/>
      <c r="N68" s="32"/>
      <c r="O68" s="32"/>
      <c r="P68" s="32"/>
      <c r="Q68" s="32"/>
      <c r="R68" s="32"/>
      <c r="S68" s="32"/>
      <c r="T68" s="32"/>
      <c r="U68" s="32"/>
      <c r="V68" s="32"/>
      <c r="W68" s="32"/>
      <c r="X68" s="32"/>
      <c r="Y68" s="32"/>
      <c r="Z68" s="32"/>
    </row>
    <row r="69" spans="1:26">
      <c r="A69" s="26"/>
      <c r="B69" s="26"/>
      <c r="C69" s="26"/>
      <c r="D69" s="26"/>
      <c r="E69" s="26"/>
      <c r="F69" s="26"/>
      <c r="G69" s="26"/>
      <c r="H69" s="26"/>
      <c r="I69" s="26"/>
      <c r="J69" s="26"/>
      <c r="K69" s="26"/>
      <c r="L69" s="26"/>
      <c r="M69" s="32"/>
      <c r="N69" s="32"/>
      <c r="O69" s="32"/>
      <c r="P69" s="32"/>
      <c r="Q69" s="32"/>
      <c r="R69" s="32"/>
      <c r="S69" s="32"/>
      <c r="T69" s="32"/>
      <c r="U69" s="32"/>
      <c r="V69" s="32"/>
      <c r="W69" s="32"/>
      <c r="X69" s="32"/>
      <c r="Y69" s="32"/>
      <c r="Z69" s="32"/>
    </row>
    <row r="70" spans="1:26">
      <c r="A70" s="26"/>
      <c r="B70" s="26"/>
      <c r="C70" s="26"/>
      <c r="D70" s="26"/>
      <c r="E70" s="26"/>
      <c r="F70" s="26"/>
      <c r="G70" s="26"/>
      <c r="H70" s="26"/>
      <c r="I70" s="26"/>
      <c r="J70" s="26"/>
      <c r="K70" s="26"/>
      <c r="L70" s="26"/>
      <c r="M70" s="32"/>
      <c r="N70" s="32"/>
      <c r="O70" s="32"/>
      <c r="P70" s="32"/>
      <c r="Q70" s="32"/>
      <c r="R70" s="32"/>
      <c r="S70" s="32"/>
      <c r="T70" s="32"/>
      <c r="U70" s="32"/>
      <c r="V70" s="32"/>
      <c r="W70" s="32"/>
      <c r="X70" s="32"/>
      <c r="Y70" s="32"/>
      <c r="Z70" s="32"/>
    </row>
    <row r="71" spans="1:26">
      <c r="A71" s="26"/>
      <c r="B71" s="26"/>
      <c r="C71" s="26"/>
      <c r="D71" s="26"/>
      <c r="E71" s="26"/>
      <c r="F71" s="26"/>
      <c r="G71" s="26"/>
      <c r="H71" s="26"/>
      <c r="I71" s="26"/>
      <c r="J71" s="26"/>
      <c r="K71" s="26"/>
      <c r="L71" s="26"/>
      <c r="M71" s="32"/>
      <c r="N71" s="32"/>
      <c r="O71" s="32"/>
      <c r="P71" s="32"/>
      <c r="Q71" s="32"/>
      <c r="R71" s="32"/>
      <c r="S71" s="32"/>
      <c r="T71" s="32"/>
      <c r="U71" s="32"/>
      <c r="V71" s="32"/>
      <c r="W71" s="32"/>
      <c r="X71" s="32"/>
      <c r="Y71" s="32"/>
      <c r="Z71" s="32"/>
    </row>
    <row r="72" spans="1:26">
      <c r="A72" s="26"/>
      <c r="B72" s="26"/>
      <c r="C72" s="26"/>
      <c r="D72" s="26"/>
      <c r="E72" s="26"/>
      <c r="F72" s="26"/>
      <c r="G72" s="26"/>
      <c r="H72" s="26"/>
      <c r="I72" s="26"/>
      <c r="J72" s="26"/>
      <c r="K72" s="26"/>
      <c r="L72" s="26"/>
      <c r="M72" s="32"/>
      <c r="N72" s="32"/>
      <c r="O72" s="32"/>
      <c r="P72" s="32"/>
      <c r="Q72" s="32"/>
      <c r="R72" s="32"/>
      <c r="S72" s="32"/>
      <c r="T72" s="32"/>
      <c r="U72" s="32"/>
      <c r="V72" s="32"/>
      <c r="W72" s="32"/>
      <c r="X72" s="32"/>
      <c r="Y72" s="32"/>
      <c r="Z72" s="32"/>
    </row>
    <row r="73" spans="1:26">
      <c r="A73" s="26"/>
      <c r="B73" s="26"/>
      <c r="C73" s="26"/>
      <c r="D73" s="26"/>
      <c r="E73" s="26"/>
      <c r="F73" s="26"/>
      <c r="G73" s="26"/>
      <c r="H73" s="26"/>
      <c r="I73" s="26"/>
      <c r="J73" s="26"/>
      <c r="K73" s="26"/>
      <c r="L73" s="26"/>
      <c r="M73" s="32"/>
      <c r="N73" s="32"/>
      <c r="O73" s="32"/>
      <c r="P73" s="32"/>
      <c r="Q73" s="32"/>
      <c r="R73" s="32"/>
      <c r="S73" s="32"/>
      <c r="T73" s="32"/>
      <c r="U73" s="32"/>
      <c r="V73" s="32"/>
      <c r="W73" s="32"/>
      <c r="X73" s="32"/>
      <c r="Y73" s="32"/>
      <c r="Z73" s="32"/>
    </row>
    <row r="74" spans="1:26">
      <c r="A74" s="26"/>
      <c r="B74" s="26"/>
      <c r="C74" s="26"/>
      <c r="D74" s="26"/>
      <c r="E74" s="26"/>
      <c r="F74" s="26"/>
      <c r="G74" s="26"/>
      <c r="H74" s="26"/>
      <c r="I74" s="26"/>
      <c r="J74" s="26"/>
      <c r="K74" s="26"/>
      <c r="L74" s="26"/>
      <c r="M74" s="32"/>
      <c r="N74" s="32"/>
      <c r="O74" s="32"/>
      <c r="P74" s="32"/>
      <c r="Q74" s="32"/>
      <c r="R74" s="32"/>
      <c r="S74" s="32"/>
      <c r="T74" s="32"/>
      <c r="U74" s="32"/>
      <c r="V74" s="32"/>
      <c r="W74" s="32"/>
      <c r="X74" s="32"/>
      <c r="Y74" s="32"/>
      <c r="Z74" s="32"/>
    </row>
    <row r="75" spans="1:26">
      <c r="A75" s="26"/>
      <c r="B75" s="26"/>
      <c r="C75" s="26"/>
      <c r="D75" s="26"/>
      <c r="E75" s="26"/>
      <c r="F75" s="26"/>
      <c r="G75" s="26"/>
      <c r="H75" s="26"/>
      <c r="I75" s="26"/>
      <c r="J75" s="26"/>
      <c r="K75" s="26"/>
      <c r="L75" s="26"/>
      <c r="M75" s="32"/>
      <c r="N75" s="32"/>
      <c r="O75" s="32"/>
      <c r="P75" s="32"/>
      <c r="Q75" s="32"/>
      <c r="R75" s="32"/>
      <c r="S75" s="32"/>
      <c r="T75" s="32"/>
      <c r="U75" s="32"/>
      <c r="V75" s="32"/>
      <c r="W75" s="32"/>
      <c r="X75" s="32"/>
      <c r="Y75" s="32"/>
      <c r="Z75" s="32"/>
    </row>
    <row r="76" spans="1:26">
      <c r="A76" s="26"/>
      <c r="B76" s="26"/>
      <c r="C76" s="26"/>
      <c r="D76" s="26"/>
      <c r="E76" s="26"/>
      <c r="F76" s="26"/>
      <c r="G76" s="26"/>
      <c r="H76" s="26"/>
      <c r="I76" s="26"/>
      <c r="J76" s="26"/>
      <c r="K76" s="26"/>
      <c r="L76" s="26"/>
      <c r="M76" s="32"/>
      <c r="N76" s="32"/>
      <c r="O76" s="32"/>
      <c r="P76" s="32"/>
      <c r="Q76" s="32"/>
      <c r="R76" s="32"/>
      <c r="S76" s="32"/>
      <c r="T76" s="32"/>
      <c r="U76" s="32"/>
      <c r="V76" s="32"/>
      <c r="W76" s="32"/>
      <c r="X76" s="32"/>
      <c r="Y76" s="32"/>
      <c r="Z76" s="32"/>
    </row>
    <row r="77" spans="1:26">
      <c r="A77" s="26"/>
      <c r="B77" s="26"/>
      <c r="C77" s="26"/>
      <c r="D77" s="26"/>
      <c r="E77" s="26"/>
      <c r="F77" s="26"/>
      <c r="G77" s="26"/>
      <c r="H77" s="26"/>
      <c r="I77" s="26"/>
      <c r="J77" s="26"/>
      <c r="K77" s="26"/>
      <c r="L77" s="26"/>
      <c r="M77" s="32"/>
      <c r="N77" s="32"/>
      <c r="O77" s="32"/>
      <c r="P77" s="32"/>
      <c r="Q77" s="32"/>
      <c r="R77" s="32"/>
      <c r="S77" s="32"/>
      <c r="T77" s="32"/>
      <c r="U77" s="32"/>
      <c r="V77" s="32"/>
      <c r="W77" s="32"/>
      <c r="X77" s="32"/>
      <c r="Y77" s="32"/>
      <c r="Z77" s="32"/>
    </row>
    <row r="78" spans="1:26">
      <c r="A78" s="6"/>
      <c r="B78" s="26"/>
      <c r="C78" s="26"/>
      <c r="D78" s="26"/>
      <c r="E78" s="26"/>
      <c r="F78" s="26"/>
      <c r="G78" s="26"/>
      <c r="H78" s="26"/>
      <c r="I78" s="26"/>
      <c r="J78" s="26"/>
      <c r="K78" s="26"/>
      <c r="L78" s="26"/>
      <c r="M78" s="32"/>
      <c r="N78" s="32"/>
      <c r="O78" s="32"/>
      <c r="P78" s="32"/>
      <c r="Q78" s="32"/>
      <c r="R78" s="32"/>
      <c r="S78" s="32"/>
      <c r="T78" s="32"/>
      <c r="U78" s="32"/>
      <c r="V78" s="32"/>
      <c r="W78" s="32"/>
      <c r="X78" s="32"/>
      <c r="Y78" s="32"/>
      <c r="Z78" s="32"/>
    </row>
    <row r="79" spans="1:26">
      <c r="A79" s="6"/>
      <c r="B79" s="26"/>
      <c r="C79" s="26"/>
      <c r="D79" s="26"/>
      <c r="E79" s="26"/>
      <c r="F79" s="26"/>
      <c r="G79" s="26"/>
      <c r="H79" s="26"/>
      <c r="I79" s="26"/>
      <c r="J79" s="26"/>
      <c r="K79" s="26"/>
      <c r="L79" s="26"/>
      <c r="M79" s="32"/>
      <c r="N79" s="32"/>
      <c r="O79" s="32"/>
      <c r="P79" s="32"/>
      <c r="Q79" s="32"/>
      <c r="R79" s="32"/>
      <c r="S79" s="32"/>
      <c r="T79" s="32"/>
      <c r="U79" s="32"/>
      <c r="V79" s="32"/>
      <c r="W79" s="32"/>
      <c r="X79" s="32"/>
      <c r="Y79" s="32"/>
      <c r="Z79" s="32"/>
    </row>
    <row r="80" spans="1:26">
      <c r="A80" s="6"/>
      <c r="B80" s="26"/>
      <c r="C80" s="26"/>
      <c r="D80" s="26"/>
      <c r="E80" s="26"/>
      <c r="F80" s="26"/>
      <c r="G80" s="26"/>
      <c r="H80" s="26"/>
      <c r="I80" s="26"/>
      <c r="J80" s="26"/>
      <c r="K80" s="26"/>
      <c r="L80" s="26"/>
      <c r="M80" s="32"/>
      <c r="N80" s="32"/>
      <c r="O80" s="32"/>
      <c r="P80" s="32"/>
      <c r="Q80" s="32"/>
      <c r="R80" s="32"/>
      <c r="S80" s="32"/>
      <c r="T80" s="32"/>
      <c r="U80" s="32"/>
      <c r="V80" s="32"/>
      <c r="W80" s="32"/>
      <c r="X80" s="32"/>
      <c r="Y80" s="32"/>
      <c r="Z80" s="32"/>
    </row>
    <row r="81" spans="1:26">
      <c r="A81" s="6"/>
      <c r="B81" s="26"/>
      <c r="C81" s="26"/>
      <c r="D81" s="26"/>
      <c r="E81" s="26"/>
      <c r="F81" s="26"/>
      <c r="G81" s="26"/>
      <c r="H81" s="26"/>
      <c r="I81" s="26"/>
      <c r="J81" s="26"/>
      <c r="K81" s="26"/>
      <c r="L81" s="26"/>
      <c r="M81" s="32"/>
      <c r="N81" s="32"/>
      <c r="O81" s="32"/>
      <c r="P81" s="32"/>
      <c r="Q81" s="32"/>
      <c r="R81" s="32"/>
      <c r="S81" s="32"/>
      <c r="T81" s="32"/>
      <c r="U81" s="32"/>
      <c r="V81" s="32"/>
      <c r="W81" s="32"/>
      <c r="X81" s="32"/>
      <c r="Y81" s="32"/>
      <c r="Z81" s="32"/>
    </row>
    <row r="82" spans="1:26">
      <c r="C82" s="26"/>
      <c r="D82" s="26"/>
      <c r="E82" s="26"/>
      <c r="F82" s="26"/>
      <c r="G82" s="26"/>
      <c r="H82" s="26"/>
      <c r="I82" s="26"/>
      <c r="J82" s="26"/>
      <c r="K82" s="26"/>
      <c r="L82" s="26"/>
      <c r="M82" s="32"/>
      <c r="N82" s="32"/>
      <c r="O82" s="32"/>
      <c r="P82" s="32"/>
      <c r="Q82" s="32"/>
      <c r="R82" s="32"/>
      <c r="S82" s="32"/>
      <c r="T82" s="32"/>
      <c r="U82" s="32"/>
      <c r="V82" s="32"/>
      <c r="W82" s="32"/>
      <c r="X82" s="32"/>
      <c r="Y82" s="32"/>
      <c r="Z82" s="32"/>
    </row>
    <row r="83" spans="1:26">
      <c r="C83" s="26"/>
      <c r="D83" s="26"/>
      <c r="E83" s="26"/>
      <c r="F83" s="26"/>
      <c r="G83" s="26"/>
      <c r="H83" s="26"/>
      <c r="I83" s="26"/>
      <c r="J83" s="26"/>
      <c r="K83" s="26"/>
      <c r="L83" s="26"/>
      <c r="M83" s="32"/>
      <c r="N83" s="32"/>
      <c r="O83" s="32"/>
      <c r="P83" s="32"/>
      <c r="Q83" s="32"/>
      <c r="R83" s="32"/>
      <c r="S83" s="32"/>
      <c r="T83" s="32"/>
      <c r="U83" s="32"/>
      <c r="V83" s="32"/>
      <c r="W83" s="32"/>
      <c r="X83" s="32"/>
      <c r="Y83" s="32"/>
      <c r="Z83" s="32"/>
    </row>
    <row r="84" spans="1:26">
      <c r="C84" s="26"/>
      <c r="D84" s="26"/>
      <c r="E84" s="26"/>
      <c r="F84" s="26"/>
      <c r="G84" s="26"/>
      <c r="H84" s="26"/>
      <c r="I84" s="26"/>
      <c r="J84" s="26"/>
      <c r="K84" s="26"/>
      <c r="L84" s="26"/>
      <c r="M84" s="32"/>
      <c r="N84" s="32"/>
      <c r="O84" s="32"/>
      <c r="P84" s="32"/>
      <c r="Q84" s="32"/>
      <c r="R84" s="32"/>
      <c r="S84" s="32"/>
      <c r="T84" s="32"/>
      <c r="U84" s="32"/>
      <c r="V84" s="32"/>
      <c r="W84" s="32"/>
      <c r="X84" s="32"/>
      <c r="Y84" s="32"/>
      <c r="Z84" s="32"/>
    </row>
    <row r="85" spans="1:26">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c r="A88"/>
      <c r="B88" s="17"/>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c r="A89"/>
      <c r="B89"/>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c r="A90"/>
      <c r="B90" s="120"/>
      <c r="C90" s="32"/>
      <c r="D90" s="32"/>
      <c r="E90" s="121"/>
      <c r="F90" s="32"/>
      <c r="G90" s="32"/>
      <c r="H90" s="32"/>
      <c r="I90" s="32"/>
      <c r="J90" s="32"/>
      <c r="K90" s="32"/>
      <c r="L90" s="32"/>
      <c r="M90" s="32"/>
      <c r="N90" s="32"/>
      <c r="O90" s="32"/>
      <c r="P90" s="32"/>
      <c r="Q90" s="32"/>
      <c r="R90" s="32"/>
      <c r="S90" s="32"/>
      <c r="T90" s="32"/>
      <c r="U90" s="32"/>
      <c r="V90" s="32"/>
      <c r="W90" s="32"/>
      <c r="X90" s="32"/>
      <c r="Y90" s="32"/>
      <c r="Z90" s="32"/>
    </row>
    <row r="91" spans="1:26">
      <c r="A91"/>
      <c r="B91"/>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c r="A92" s="95"/>
      <c r="B92" s="95"/>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c r="A93"/>
      <c r="B93"/>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c r="A94" s="126" t="s">
        <v>266</v>
      </c>
      <c r="B94"/>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c r="A95"/>
      <c r="B95"/>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c r="A96" s="132" t="s">
        <v>251</v>
      </c>
      <c r="B96" s="133"/>
      <c r="C96" s="133"/>
      <c r="D96" s="133"/>
      <c r="E96" s="133"/>
      <c r="F96" s="133"/>
      <c r="G96" s="32"/>
      <c r="H96" s="32"/>
      <c r="I96" s="32"/>
      <c r="J96" s="32"/>
      <c r="K96" s="32"/>
      <c r="L96" s="32"/>
      <c r="M96" s="32"/>
      <c r="N96" s="32"/>
      <c r="O96" s="32"/>
      <c r="P96" s="32"/>
      <c r="Q96" s="32"/>
      <c r="R96" s="32"/>
      <c r="S96" s="32"/>
      <c r="T96" s="32"/>
      <c r="U96" s="32"/>
      <c r="V96" s="32"/>
      <c r="W96" s="32"/>
      <c r="X96" s="32"/>
      <c r="Y96" s="32"/>
      <c r="Z96" s="32"/>
    </row>
    <row r="97" spans="1:26">
      <c r="A97" s="133"/>
      <c r="B97" s="133"/>
      <c r="C97" s="133"/>
      <c r="D97" s="133"/>
      <c r="E97" s="133"/>
      <c r="F97" s="133"/>
      <c r="G97" s="32"/>
      <c r="H97" s="32"/>
      <c r="I97" s="32"/>
      <c r="J97" s="32"/>
      <c r="K97" s="32"/>
      <c r="L97" s="32"/>
      <c r="M97" s="32"/>
      <c r="N97" s="32"/>
      <c r="O97" s="32"/>
      <c r="P97" s="32"/>
      <c r="Q97" s="32"/>
      <c r="R97" s="32"/>
      <c r="S97" s="32"/>
      <c r="T97" s="32"/>
      <c r="U97" s="32"/>
      <c r="V97" s="32"/>
      <c r="W97" s="32"/>
      <c r="X97" s="32"/>
      <c r="Y97" s="32"/>
      <c r="Z97" s="32"/>
    </row>
    <row r="98" spans="1:26">
      <c r="A98" s="133"/>
      <c r="B98" s="133"/>
      <c r="C98" s="133"/>
      <c r="D98" s="133"/>
      <c r="E98" s="133"/>
      <c r="F98" s="133"/>
      <c r="G98" s="32"/>
      <c r="H98" s="32"/>
      <c r="I98" s="32"/>
      <c r="J98" s="32"/>
      <c r="K98" s="32"/>
      <c r="L98" s="32"/>
      <c r="M98" s="32"/>
      <c r="N98" s="32"/>
      <c r="O98" s="32"/>
      <c r="P98" s="32"/>
      <c r="Q98" s="32"/>
      <c r="R98" s="32"/>
      <c r="S98" s="32"/>
      <c r="T98" s="32"/>
      <c r="U98" s="32"/>
      <c r="V98" s="32"/>
      <c r="W98" s="32"/>
      <c r="X98" s="32"/>
      <c r="Y98" s="32"/>
      <c r="Z98" s="32"/>
    </row>
    <row r="99" spans="1:26">
      <c r="A99" s="133"/>
      <c r="B99" s="133"/>
      <c r="C99" s="133"/>
      <c r="D99" s="133"/>
      <c r="E99" s="133"/>
      <c r="F99" s="133"/>
      <c r="G99" s="32"/>
      <c r="H99" s="32"/>
      <c r="I99" s="32"/>
      <c r="J99" s="32"/>
      <c r="K99" s="32"/>
      <c r="L99" s="32"/>
      <c r="M99" s="32"/>
      <c r="N99" s="32"/>
      <c r="O99" s="32"/>
      <c r="P99" s="32"/>
      <c r="Q99" s="32"/>
      <c r="R99" s="32"/>
      <c r="S99" s="32"/>
      <c r="T99" s="32"/>
      <c r="U99" s="32"/>
      <c r="V99" s="32"/>
      <c r="W99" s="32"/>
      <c r="X99" s="32"/>
      <c r="Y99" s="32"/>
      <c r="Z99" s="32"/>
    </row>
    <row r="100" spans="1:26">
      <c r="A100" s="133"/>
      <c r="B100" s="133"/>
      <c r="C100" s="133"/>
      <c r="D100" s="133"/>
      <c r="E100" s="133"/>
      <c r="F100" s="133"/>
      <c r="G100" s="32"/>
      <c r="H100" s="32"/>
      <c r="I100" s="32"/>
      <c r="J100" s="32"/>
      <c r="K100" s="32"/>
      <c r="L100" s="32"/>
      <c r="M100" s="32"/>
      <c r="N100" s="32"/>
      <c r="O100" s="32"/>
      <c r="P100" s="32"/>
      <c r="Q100" s="32"/>
      <c r="R100" s="32"/>
      <c r="S100" s="32"/>
      <c r="T100" s="32"/>
      <c r="U100" s="32"/>
      <c r="V100" s="32"/>
      <c r="W100" s="32"/>
      <c r="X100" s="32"/>
      <c r="Y100" s="32"/>
      <c r="Z100" s="32"/>
    </row>
    <row r="101" spans="1:26">
      <c r="A101" s="133"/>
      <c r="B101" s="133"/>
      <c r="C101" s="133"/>
      <c r="D101" s="133"/>
      <c r="E101" s="133"/>
      <c r="F101" s="133"/>
      <c r="G101" s="32"/>
      <c r="H101" s="32"/>
      <c r="I101" s="32"/>
      <c r="J101" s="32"/>
      <c r="K101" s="32"/>
      <c r="L101" s="32"/>
      <c r="M101" s="32"/>
      <c r="N101" s="32"/>
      <c r="O101" s="32"/>
      <c r="P101" s="32"/>
      <c r="Q101" s="32"/>
      <c r="R101" s="32"/>
      <c r="S101" s="32"/>
      <c r="T101" s="32"/>
      <c r="U101" s="32"/>
      <c r="V101" s="32"/>
      <c r="W101" s="32"/>
      <c r="X101" s="32"/>
      <c r="Y101" s="32"/>
      <c r="Z101" s="32"/>
    </row>
    <row r="102" spans="1:26">
      <c r="A102" s="133"/>
      <c r="B102" s="133"/>
      <c r="C102" s="133"/>
      <c r="D102" s="133"/>
      <c r="E102" s="133"/>
      <c r="F102" s="133"/>
      <c r="G102" s="32"/>
      <c r="H102" s="32"/>
      <c r="I102" s="32"/>
      <c r="J102" s="32"/>
      <c r="K102" s="32"/>
      <c r="L102" s="32"/>
      <c r="M102" s="32"/>
      <c r="N102" s="32"/>
      <c r="O102" s="32"/>
      <c r="P102" s="32"/>
      <c r="Q102" s="32"/>
      <c r="R102" s="32"/>
      <c r="S102" s="32"/>
      <c r="T102" s="32"/>
      <c r="U102" s="32"/>
      <c r="V102" s="32"/>
      <c r="W102" s="32"/>
      <c r="X102" s="32"/>
      <c r="Y102" s="32"/>
      <c r="Z102" s="32"/>
    </row>
    <row r="103" spans="1:26">
      <c r="A103" s="133"/>
      <c r="B103" s="133"/>
      <c r="C103" s="133"/>
      <c r="D103" s="133"/>
      <c r="E103" s="133"/>
      <c r="F103" s="133"/>
      <c r="G103" s="32"/>
      <c r="H103" s="32"/>
      <c r="I103" s="32"/>
      <c r="J103" s="32"/>
      <c r="K103" s="32"/>
      <c r="L103" s="32"/>
      <c r="M103" s="32"/>
      <c r="N103" s="32"/>
      <c r="O103" s="32"/>
      <c r="P103" s="32"/>
      <c r="Q103" s="32"/>
      <c r="R103" s="32"/>
      <c r="S103" s="32"/>
      <c r="T103" s="32"/>
      <c r="U103" s="32"/>
      <c r="V103" s="32"/>
      <c r="W103" s="32"/>
      <c r="X103" s="32"/>
      <c r="Y103" s="32"/>
      <c r="Z103" s="32"/>
    </row>
    <row r="104" spans="1:26">
      <c r="A104" s="133"/>
      <c r="B104" s="133"/>
      <c r="C104" s="133"/>
      <c r="D104" s="133"/>
      <c r="E104" s="133"/>
      <c r="F104" s="133"/>
      <c r="G104" s="32"/>
      <c r="H104" s="32"/>
      <c r="I104" s="32"/>
      <c r="J104" s="32"/>
      <c r="K104" s="32"/>
      <c r="L104" s="32"/>
      <c r="M104" s="32"/>
      <c r="N104" s="32"/>
      <c r="O104" s="32"/>
      <c r="P104" s="32"/>
      <c r="Q104" s="32"/>
      <c r="R104" s="32"/>
      <c r="S104" s="32"/>
      <c r="T104" s="32"/>
      <c r="U104" s="32"/>
      <c r="V104" s="32"/>
      <c r="W104" s="32"/>
      <c r="X104" s="32"/>
      <c r="Y104" s="32"/>
      <c r="Z104" s="32"/>
    </row>
    <row r="105" spans="1:26">
      <c r="A105" s="133"/>
      <c r="B105" s="133"/>
      <c r="C105" s="133"/>
      <c r="D105" s="133"/>
      <c r="E105" s="133"/>
      <c r="F105" s="133"/>
      <c r="G105" s="32"/>
      <c r="H105" s="32"/>
      <c r="I105" s="32"/>
      <c r="J105" s="32"/>
      <c r="K105" s="32"/>
      <c r="L105" s="32"/>
      <c r="M105" s="32"/>
      <c r="N105" s="32"/>
      <c r="O105" s="32"/>
      <c r="P105" s="32"/>
      <c r="Q105" s="32"/>
      <c r="R105" s="32"/>
      <c r="S105" s="32"/>
      <c r="T105" s="32"/>
      <c r="U105" s="32"/>
      <c r="V105" s="32"/>
      <c r="W105" s="32"/>
      <c r="X105" s="32"/>
      <c r="Y105" s="32"/>
      <c r="Z105" s="32"/>
    </row>
    <row r="106" spans="1:26">
      <c r="A106" s="133"/>
      <c r="B106" s="133"/>
      <c r="C106" s="133"/>
      <c r="D106" s="133"/>
      <c r="E106" s="133"/>
      <c r="F106" s="133"/>
      <c r="G106" s="32"/>
      <c r="H106" s="32"/>
      <c r="I106" s="32"/>
      <c r="J106" s="32"/>
      <c r="K106" s="32"/>
      <c r="L106" s="32"/>
      <c r="M106" s="32"/>
      <c r="N106" s="32"/>
      <c r="O106" s="32"/>
      <c r="P106" s="32"/>
      <c r="Q106" s="32"/>
      <c r="R106" s="32"/>
      <c r="S106" s="32"/>
      <c r="T106" s="32"/>
      <c r="U106" s="32"/>
      <c r="V106" s="32"/>
      <c r="W106" s="32"/>
      <c r="X106" s="32"/>
      <c r="Y106" s="32"/>
      <c r="Z106" s="32"/>
    </row>
    <row r="107" spans="1:26">
      <c r="A107" s="133"/>
      <c r="B107" s="133"/>
      <c r="C107" s="133"/>
      <c r="D107" s="133"/>
      <c r="E107" s="133"/>
      <c r="F107" s="133"/>
      <c r="G107" s="32"/>
      <c r="H107" s="32"/>
      <c r="I107" s="32"/>
      <c r="J107" s="32"/>
      <c r="K107" s="32"/>
      <c r="L107" s="32"/>
      <c r="M107" s="32"/>
      <c r="N107" s="32"/>
      <c r="O107" s="32"/>
      <c r="P107" s="32"/>
      <c r="Q107" s="32"/>
      <c r="R107" s="32"/>
      <c r="S107" s="32"/>
      <c r="T107" s="32"/>
      <c r="U107" s="32"/>
      <c r="V107" s="32"/>
      <c r="W107" s="32"/>
      <c r="X107" s="32"/>
      <c r="Y107" s="32"/>
      <c r="Z107" s="32"/>
    </row>
    <row r="108" spans="1:26">
      <c r="A108" s="133"/>
      <c r="B108" s="133"/>
      <c r="C108" s="133"/>
      <c r="D108" s="133"/>
      <c r="E108" s="133"/>
      <c r="F108" s="133"/>
      <c r="G108" s="32"/>
      <c r="H108" s="32"/>
      <c r="I108" s="32"/>
      <c r="J108" s="32"/>
      <c r="K108" s="32"/>
      <c r="L108" s="32"/>
      <c r="M108" s="32"/>
      <c r="N108" s="32"/>
      <c r="O108" s="32"/>
      <c r="P108" s="32"/>
      <c r="Q108" s="32"/>
      <c r="R108" s="32"/>
      <c r="S108" s="32"/>
      <c r="T108" s="32"/>
      <c r="U108" s="32"/>
      <c r="V108" s="32"/>
      <c r="W108" s="32"/>
      <c r="X108" s="32"/>
      <c r="Y108" s="32"/>
      <c r="Z108" s="32"/>
    </row>
    <row r="109" spans="1:26">
      <c r="A109"/>
      <c r="B109"/>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c r="A110"/>
      <c r="B110"/>
    </row>
    <row r="111" spans="1:26">
      <c r="A111"/>
      <c r="B111"/>
    </row>
    <row r="112" spans="1:26">
      <c r="A112" s="1"/>
      <c r="B112"/>
    </row>
    <row r="113" spans="1:2">
      <c r="A113"/>
      <c r="B113"/>
    </row>
    <row r="114" spans="1:2">
      <c r="A114"/>
      <c r="B114"/>
    </row>
    <row r="115" spans="1:2">
      <c r="A115"/>
      <c r="B115"/>
    </row>
    <row r="116" spans="1:2">
      <c r="A116"/>
      <c r="B116"/>
    </row>
    <row r="117" spans="1:2">
      <c r="A117"/>
      <c r="B117"/>
    </row>
    <row r="118" spans="1:2">
      <c r="A118"/>
      <c r="B118"/>
    </row>
  </sheetData>
  <sheetProtection algorithmName="SHA-512" hashValue="jpcA+XrKDJ1kFEMHyouCeYcr4jMtLdrRFjbhfODK85GMKqPTP7xBSJg476cplSHXuzce+89PAmUfZIksYrNNsw==" saltValue="s/ujYVoAGxvKLLlxApJw7A==" spinCount="100000" sheet="1" selectLockedCells="1"/>
  <mergeCells count="1">
    <mergeCell ref="A96:F108"/>
  </mergeCells>
  <phoneticPr fontId="3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P78"/>
  <sheetViews>
    <sheetView zoomScaleNormal="100" workbookViewId="0">
      <selection activeCell="B13" sqref="B13"/>
    </sheetView>
  </sheetViews>
  <sheetFormatPr defaultColWidth="11.453125" defaultRowHeight="14.5"/>
  <cols>
    <col min="1" max="1" width="12.08984375" customWidth="1"/>
    <col min="2" max="7" width="9.08984375" customWidth="1"/>
    <col min="8" max="8" width="6.81640625" customWidth="1"/>
    <col min="9" max="9" width="4" customWidth="1"/>
    <col min="10" max="10" width="8.26953125" customWidth="1"/>
    <col min="11" max="11" width="6.7265625" customWidth="1"/>
    <col min="12" max="12" width="17.54296875" customWidth="1"/>
    <col min="13" max="13" width="15.453125" customWidth="1"/>
    <col min="14" max="14" width="16.81640625" customWidth="1"/>
    <col min="15" max="20" width="9.08984375" customWidth="1"/>
    <col min="21" max="25" width="9.08984375" style="129" customWidth="1"/>
    <col min="26" max="252" width="9.08984375" customWidth="1"/>
    <col min="253" max="253" width="12.08984375" customWidth="1"/>
    <col min="254" max="259" width="9.08984375" customWidth="1"/>
    <col min="260" max="260" width="6.81640625" customWidth="1"/>
    <col min="261" max="261" width="4" customWidth="1"/>
    <col min="262" max="262" width="5.81640625" customWidth="1"/>
    <col min="263" max="508" width="9.08984375" customWidth="1"/>
    <col min="509" max="509" width="12.08984375" customWidth="1"/>
    <col min="510" max="515" width="9.08984375" customWidth="1"/>
    <col min="516" max="516" width="6.81640625" customWidth="1"/>
    <col min="517" max="517" width="4" customWidth="1"/>
    <col min="518" max="518" width="5.81640625" customWidth="1"/>
    <col min="519" max="764" width="9.08984375" customWidth="1"/>
    <col min="765" max="765" width="12.08984375" customWidth="1"/>
    <col min="766" max="771" width="9.08984375" customWidth="1"/>
    <col min="772" max="772" width="6.81640625" customWidth="1"/>
    <col min="773" max="773" width="4" customWidth="1"/>
    <col min="774" max="774" width="5.81640625" customWidth="1"/>
    <col min="775" max="1020" width="9.08984375" customWidth="1"/>
    <col min="1021" max="1021" width="12.08984375" customWidth="1"/>
    <col min="1022" max="1027" width="9.08984375" customWidth="1"/>
    <col min="1028" max="1028" width="6.81640625" customWidth="1"/>
    <col min="1029" max="1029" width="4" customWidth="1"/>
    <col min="1030" max="1030" width="5.81640625" customWidth="1"/>
    <col min="1031" max="1276" width="9.08984375" customWidth="1"/>
    <col min="1277" max="1277" width="12.08984375" customWidth="1"/>
    <col min="1278" max="1283" width="9.08984375" customWidth="1"/>
    <col min="1284" max="1284" width="6.81640625" customWidth="1"/>
    <col min="1285" max="1285" width="4" customWidth="1"/>
    <col min="1286" max="1286" width="5.81640625" customWidth="1"/>
    <col min="1287" max="1532" width="9.08984375" customWidth="1"/>
    <col min="1533" max="1533" width="12.08984375" customWidth="1"/>
    <col min="1534" max="1539" width="9.08984375" customWidth="1"/>
    <col min="1540" max="1540" width="6.81640625" customWidth="1"/>
    <col min="1541" max="1541" width="4" customWidth="1"/>
    <col min="1542" max="1542" width="5.81640625" customWidth="1"/>
    <col min="1543" max="1788" width="9.08984375" customWidth="1"/>
    <col min="1789" max="1789" width="12.08984375" customWidth="1"/>
    <col min="1790" max="1795" width="9.08984375" customWidth="1"/>
    <col min="1796" max="1796" width="6.81640625" customWidth="1"/>
    <col min="1797" max="1797" width="4" customWidth="1"/>
    <col min="1798" max="1798" width="5.81640625" customWidth="1"/>
    <col min="1799" max="2044" width="9.08984375" customWidth="1"/>
    <col min="2045" max="2045" width="12.08984375" customWidth="1"/>
    <col min="2046" max="2051" width="9.08984375" customWidth="1"/>
    <col min="2052" max="2052" width="6.81640625" customWidth="1"/>
    <col min="2053" max="2053" width="4" customWidth="1"/>
    <col min="2054" max="2054" width="5.81640625" customWidth="1"/>
    <col min="2055" max="2300" width="9.08984375" customWidth="1"/>
    <col min="2301" max="2301" width="12.08984375" customWidth="1"/>
    <col min="2302" max="2307" width="9.08984375" customWidth="1"/>
    <col min="2308" max="2308" width="6.81640625" customWidth="1"/>
    <col min="2309" max="2309" width="4" customWidth="1"/>
    <col min="2310" max="2310" width="5.81640625" customWidth="1"/>
    <col min="2311" max="2556" width="9.08984375" customWidth="1"/>
    <col min="2557" max="2557" width="12.08984375" customWidth="1"/>
    <col min="2558" max="2563" width="9.08984375" customWidth="1"/>
    <col min="2564" max="2564" width="6.81640625" customWidth="1"/>
    <col min="2565" max="2565" width="4" customWidth="1"/>
    <col min="2566" max="2566" width="5.81640625" customWidth="1"/>
    <col min="2567" max="2812" width="9.08984375" customWidth="1"/>
    <col min="2813" max="2813" width="12.08984375" customWidth="1"/>
    <col min="2814" max="2819" width="9.08984375" customWidth="1"/>
    <col min="2820" max="2820" width="6.81640625" customWidth="1"/>
    <col min="2821" max="2821" width="4" customWidth="1"/>
    <col min="2822" max="2822" width="5.81640625" customWidth="1"/>
    <col min="2823" max="3068" width="9.08984375" customWidth="1"/>
    <col min="3069" max="3069" width="12.08984375" customWidth="1"/>
    <col min="3070" max="3075" width="9.08984375" customWidth="1"/>
    <col min="3076" max="3076" width="6.81640625" customWidth="1"/>
    <col min="3077" max="3077" width="4" customWidth="1"/>
    <col min="3078" max="3078" width="5.81640625" customWidth="1"/>
    <col min="3079" max="3324" width="9.08984375" customWidth="1"/>
    <col min="3325" max="3325" width="12.08984375" customWidth="1"/>
    <col min="3326" max="3331" width="9.08984375" customWidth="1"/>
    <col min="3332" max="3332" width="6.81640625" customWidth="1"/>
    <col min="3333" max="3333" width="4" customWidth="1"/>
    <col min="3334" max="3334" width="5.81640625" customWidth="1"/>
    <col min="3335" max="3580" width="9.08984375" customWidth="1"/>
    <col min="3581" max="3581" width="12.08984375" customWidth="1"/>
    <col min="3582" max="3587" width="9.08984375" customWidth="1"/>
    <col min="3588" max="3588" width="6.81640625" customWidth="1"/>
    <col min="3589" max="3589" width="4" customWidth="1"/>
    <col min="3590" max="3590" width="5.81640625" customWidth="1"/>
    <col min="3591" max="3836" width="9.08984375" customWidth="1"/>
    <col min="3837" max="3837" width="12.08984375" customWidth="1"/>
    <col min="3838" max="3843" width="9.08984375" customWidth="1"/>
    <col min="3844" max="3844" width="6.81640625" customWidth="1"/>
    <col min="3845" max="3845" width="4" customWidth="1"/>
    <col min="3846" max="3846" width="5.81640625" customWidth="1"/>
    <col min="3847" max="4092" width="9.08984375" customWidth="1"/>
    <col min="4093" max="4093" width="12.08984375" customWidth="1"/>
    <col min="4094" max="4099" width="9.08984375" customWidth="1"/>
    <col min="4100" max="4100" width="6.81640625" customWidth="1"/>
    <col min="4101" max="4101" width="4" customWidth="1"/>
    <col min="4102" max="4102" width="5.81640625" customWidth="1"/>
    <col min="4103" max="4348" width="9.08984375" customWidth="1"/>
    <col min="4349" max="4349" width="12.08984375" customWidth="1"/>
    <col min="4350" max="4355" width="9.08984375" customWidth="1"/>
    <col min="4356" max="4356" width="6.81640625" customWidth="1"/>
    <col min="4357" max="4357" width="4" customWidth="1"/>
    <col min="4358" max="4358" width="5.81640625" customWidth="1"/>
    <col min="4359" max="4604" width="9.08984375" customWidth="1"/>
    <col min="4605" max="4605" width="12.08984375" customWidth="1"/>
    <col min="4606" max="4611" width="9.08984375" customWidth="1"/>
    <col min="4612" max="4612" width="6.81640625" customWidth="1"/>
    <col min="4613" max="4613" width="4" customWidth="1"/>
    <col min="4614" max="4614" width="5.81640625" customWidth="1"/>
    <col min="4615" max="4860" width="9.08984375" customWidth="1"/>
    <col min="4861" max="4861" width="12.08984375" customWidth="1"/>
    <col min="4862" max="4867" width="9.08984375" customWidth="1"/>
    <col min="4868" max="4868" width="6.81640625" customWidth="1"/>
    <col min="4869" max="4869" width="4" customWidth="1"/>
    <col min="4870" max="4870" width="5.81640625" customWidth="1"/>
    <col min="4871" max="5116" width="9.08984375" customWidth="1"/>
    <col min="5117" max="5117" width="12.08984375" customWidth="1"/>
    <col min="5118" max="5123" width="9.08984375" customWidth="1"/>
    <col min="5124" max="5124" width="6.81640625" customWidth="1"/>
    <col min="5125" max="5125" width="4" customWidth="1"/>
    <col min="5126" max="5126" width="5.81640625" customWidth="1"/>
    <col min="5127" max="5372" width="9.08984375" customWidth="1"/>
    <col min="5373" max="5373" width="12.08984375" customWidth="1"/>
    <col min="5374" max="5379" width="9.08984375" customWidth="1"/>
    <col min="5380" max="5380" width="6.81640625" customWidth="1"/>
    <col min="5381" max="5381" width="4" customWidth="1"/>
    <col min="5382" max="5382" width="5.81640625" customWidth="1"/>
    <col min="5383" max="5628" width="9.08984375" customWidth="1"/>
    <col min="5629" max="5629" width="12.08984375" customWidth="1"/>
    <col min="5630" max="5635" width="9.08984375" customWidth="1"/>
    <col min="5636" max="5636" width="6.81640625" customWidth="1"/>
    <col min="5637" max="5637" width="4" customWidth="1"/>
    <col min="5638" max="5638" width="5.81640625" customWidth="1"/>
    <col min="5639" max="5884" width="9.08984375" customWidth="1"/>
    <col min="5885" max="5885" width="12.08984375" customWidth="1"/>
    <col min="5886" max="5891" width="9.08984375" customWidth="1"/>
    <col min="5892" max="5892" width="6.81640625" customWidth="1"/>
    <col min="5893" max="5893" width="4" customWidth="1"/>
    <col min="5894" max="5894" width="5.81640625" customWidth="1"/>
    <col min="5895" max="6140" width="9.08984375" customWidth="1"/>
    <col min="6141" max="6141" width="12.08984375" customWidth="1"/>
    <col min="6142" max="6147" width="9.08984375" customWidth="1"/>
    <col min="6148" max="6148" width="6.81640625" customWidth="1"/>
    <col min="6149" max="6149" width="4" customWidth="1"/>
    <col min="6150" max="6150" width="5.81640625" customWidth="1"/>
    <col min="6151" max="6396" width="9.08984375" customWidth="1"/>
    <col min="6397" max="6397" width="12.08984375" customWidth="1"/>
    <col min="6398" max="6403" width="9.08984375" customWidth="1"/>
    <col min="6404" max="6404" width="6.81640625" customWidth="1"/>
    <col min="6405" max="6405" width="4" customWidth="1"/>
    <col min="6406" max="6406" width="5.81640625" customWidth="1"/>
    <col min="6407" max="6652" width="9.08984375" customWidth="1"/>
    <col min="6653" max="6653" width="12.08984375" customWidth="1"/>
    <col min="6654" max="6659" width="9.08984375" customWidth="1"/>
    <col min="6660" max="6660" width="6.81640625" customWidth="1"/>
    <col min="6661" max="6661" width="4" customWidth="1"/>
    <col min="6662" max="6662" width="5.81640625" customWidth="1"/>
    <col min="6663" max="6908" width="9.08984375" customWidth="1"/>
    <col min="6909" max="6909" width="12.08984375" customWidth="1"/>
    <col min="6910" max="6915" width="9.08984375" customWidth="1"/>
    <col min="6916" max="6916" width="6.81640625" customWidth="1"/>
    <col min="6917" max="6917" width="4" customWidth="1"/>
    <col min="6918" max="6918" width="5.81640625" customWidth="1"/>
    <col min="6919" max="7164" width="9.08984375" customWidth="1"/>
    <col min="7165" max="7165" width="12.08984375" customWidth="1"/>
    <col min="7166" max="7171" width="9.08984375" customWidth="1"/>
    <col min="7172" max="7172" width="6.81640625" customWidth="1"/>
    <col min="7173" max="7173" width="4" customWidth="1"/>
    <col min="7174" max="7174" width="5.81640625" customWidth="1"/>
    <col min="7175" max="7420" width="9.08984375" customWidth="1"/>
    <col min="7421" max="7421" width="12.08984375" customWidth="1"/>
    <col min="7422" max="7427" width="9.08984375" customWidth="1"/>
    <col min="7428" max="7428" width="6.81640625" customWidth="1"/>
    <col min="7429" max="7429" width="4" customWidth="1"/>
    <col min="7430" max="7430" width="5.81640625" customWidth="1"/>
    <col min="7431" max="7676" width="9.08984375" customWidth="1"/>
    <col min="7677" max="7677" width="12.08984375" customWidth="1"/>
    <col min="7678" max="7683" width="9.08984375" customWidth="1"/>
    <col min="7684" max="7684" width="6.81640625" customWidth="1"/>
    <col min="7685" max="7685" width="4" customWidth="1"/>
    <col min="7686" max="7686" width="5.81640625" customWidth="1"/>
    <col min="7687" max="7932" width="9.08984375" customWidth="1"/>
    <col min="7933" max="7933" width="12.08984375" customWidth="1"/>
    <col min="7934" max="7939" width="9.08984375" customWidth="1"/>
    <col min="7940" max="7940" width="6.81640625" customWidth="1"/>
    <col min="7941" max="7941" width="4" customWidth="1"/>
    <col min="7942" max="7942" width="5.81640625" customWidth="1"/>
    <col min="7943" max="8188" width="9.08984375" customWidth="1"/>
    <col min="8189" max="8189" width="12.08984375" customWidth="1"/>
    <col min="8190" max="8195" width="9.08984375" customWidth="1"/>
    <col min="8196" max="8196" width="6.81640625" customWidth="1"/>
    <col min="8197" max="8197" width="4" customWidth="1"/>
    <col min="8198" max="8198" width="5.81640625" customWidth="1"/>
    <col min="8199" max="8444" width="9.08984375" customWidth="1"/>
    <col min="8445" max="8445" width="12.08984375" customWidth="1"/>
    <col min="8446" max="8451" width="9.08984375" customWidth="1"/>
    <col min="8452" max="8452" width="6.81640625" customWidth="1"/>
    <col min="8453" max="8453" width="4" customWidth="1"/>
    <col min="8454" max="8454" width="5.81640625" customWidth="1"/>
    <col min="8455" max="8700" width="9.08984375" customWidth="1"/>
    <col min="8701" max="8701" width="12.08984375" customWidth="1"/>
    <col min="8702" max="8707" width="9.08984375" customWidth="1"/>
    <col min="8708" max="8708" width="6.81640625" customWidth="1"/>
    <col min="8709" max="8709" width="4" customWidth="1"/>
    <col min="8710" max="8710" width="5.81640625" customWidth="1"/>
    <col min="8711" max="8956" width="9.08984375" customWidth="1"/>
    <col min="8957" max="8957" width="12.08984375" customWidth="1"/>
    <col min="8958" max="8963" width="9.08984375" customWidth="1"/>
    <col min="8964" max="8964" width="6.81640625" customWidth="1"/>
    <col min="8965" max="8965" width="4" customWidth="1"/>
    <col min="8966" max="8966" width="5.81640625" customWidth="1"/>
    <col min="8967" max="9212" width="9.08984375" customWidth="1"/>
    <col min="9213" max="9213" width="12.08984375" customWidth="1"/>
    <col min="9214" max="9219" width="9.08984375" customWidth="1"/>
    <col min="9220" max="9220" width="6.81640625" customWidth="1"/>
    <col min="9221" max="9221" width="4" customWidth="1"/>
    <col min="9222" max="9222" width="5.81640625" customWidth="1"/>
    <col min="9223" max="9468" width="9.08984375" customWidth="1"/>
    <col min="9469" max="9469" width="12.08984375" customWidth="1"/>
    <col min="9470" max="9475" width="9.08984375" customWidth="1"/>
    <col min="9476" max="9476" width="6.81640625" customWidth="1"/>
    <col min="9477" max="9477" width="4" customWidth="1"/>
    <col min="9478" max="9478" width="5.81640625" customWidth="1"/>
    <col min="9479" max="9724" width="9.08984375" customWidth="1"/>
    <col min="9725" max="9725" width="12.08984375" customWidth="1"/>
    <col min="9726" max="9731" width="9.08984375" customWidth="1"/>
    <col min="9732" max="9732" width="6.81640625" customWidth="1"/>
    <col min="9733" max="9733" width="4" customWidth="1"/>
    <col min="9734" max="9734" width="5.81640625" customWidth="1"/>
    <col min="9735" max="9980" width="9.08984375" customWidth="1"/>
    <col min="9981" max="9981" width="12.08984375" customWidth="1"/>
    <col min="9982" max="9987" width="9.08984375" customWidth="1"/>
    <col min="9988" max="9988" width="6.81640625" customWidth="1"/>
    <col min="9989" max="9989" width="4" customWidth="1"/>
    <col min="9990" max="9990" width="5.81640625" customWidth="1"/>
    <col min="9991" max="10236" width="9.08984375" customWidth="1"/>
    <col min="10237" max="10237" width="12.08984375" customWidth="1"/>
    <col min="10238" max="10243" width="9.08984375" customWidth="1"/>
    <col min="10244" max="10244" width="6.81640625" customWidth="1"/>
    <col min="10245" max="10245" width="4" customWidth="1"/>
    <col min="10246" max="10246" width="5.81640625" customWidth="1"/>
    <col min="10247" max="10492" width="9.08984375" customWidth="1"/>
    <col min="10493" max="10493" width="12.08984375" customWidth="1"/>
    <col min="10494" max="10499" width="9.08984375" customWidth="1"/>
    <col min="10500" max="10500" width="6.81640625" customWidth="1"/>
    <col min="10501" max="10501" width="4" customWidth="1"/>
    <col min="10502" max="10502" width="5.81640625" customWidth="1"/>
    <col min="10503" max="10748" width="9.08984375" customWidth="1"/>
    <col min="10749" max="10749" width="12.08984375" customWidth="1"/>
    <col min="10750" max="10755" width="9.08984375" customWidth="1"/>
    <col min="10756" max="10756" width="6.81640625" customWidth="1"/>
    <col min="10757" max="10757" width="4" customWidth="1"/>
    <col min="10758" max="10758" width="5.81640625" customWidth="1"/>
    <col min="10759" max="11004" width="9.08984375" customWidth="1"/>
    <col min="11005" max="11005" width="12.08984375" customWidth="1"/>
    <col min="11006" max="11011" width="9.08984375" customWidth="1"/>
    <col min="11012" max="11012" width="6.81640625" customWidth="1"/>
    <col min="11013" max="11013" width="4" customWidth="1"/>
    <col min="11014" max="11014" width="5.81640625" customWidth="1"/>
    <col min="11015" max="11260" width="9.08984375" customWidth="1"/>
    <col min="11261" max="11261" width="12.08984375" customWidth="1"/>
    <col min="11262" max="11267" width="9.08984375" customWidth="1"/>
    <col min="11268" max="11268" width="6.81640625" customWidth="1"/>
    <col min="11269" max="11269" width="4" customWidth="1"/>
    <col min="11270" max="11270" width="5.81640625" customWidth="1"/>
    <col min="11271" max="11516" width="9.08984375" customWidth="1"/>
    <col min="11517" max="11517" width="12.08984375" customWidth="1"/>
    <col min="11518" max="11523" width="9.08984375" customWidth="1"/>
    <col min="11524" max="11524" width="6.81640625" customWidth="1"/>
    <col min="11525" max="11525" width="4" customWidth="1"/>
    <col min="11526" max="11526" width="5.81640625" customWidth="1"/>
    <col min="11527" max="11772" width="9.08984375" customWidth="1"/>
    <col min="11773" max="11773" width="12.08984375" customWidth="1"/>
    <col min="11774" max="11779" width="9.08984375" customWidth="1"/>
    <col min="11780" max="11780" width="6.81640625" customWidth="1"/>
    <col min="11781" max="11781" width="4" customWidth="1"/>
    <col min="11782" max="11782" width="5.81640625" customWidth="1"/>
    <col min="11783" max="12028" width="9.08984375" customWidth="1"/>
    <col min="12029" max="12029" width="12.08984375" customWidth="1"/>
    <col min="12030" max="12035" width="9.08984375" customWidth="1"/>
    <col min="12036" max="12036" width="6.81640625" customWidth="1"/>
    <col min="12037" max="12037" width="4" customWidth="1"/>
    <col min="12038" max="12038" width="5.81640625" customWidth="1"/>
    <col min="12039" max="12284" width="9.08984375" customWidth="1"/>
    <col min="12285" max="12285" width="12.08984375" customWidth="1"/>
    <col min="12286" max="12291" width="9.08984375" customWidth="1"/>
    <col min="12292" max="12292" width="6.81640625" customWidth="1"/>
    <col min="12293" max="12293" width="4" customWidth="1"/>
    <col min="12294" max="12294" width="5.81640625" customWidth="1"/>
    <col min="12295" max="12540" width="9.08984375" customWidth="1"/>
    <col min="12541" max="12541" width="12.08984375" customWidth="1"/>
    <col min="12542" max="12547" width="9.08984375" customWidth="1"/>
    <col min="12548" max="12548" width="6.81640625" customWidth="1"/>
    <col min="12549" max="12549" width="4" customWidth="1"/>
    <col min="12550" max="12550" width="5.81640625" customWidth="1"/>
    <col min="12551" max="12796" width="9.08984375" customWidth="1"/>
    <col min="12797" max="12797" width="12.08984375" customWidth="1"/>
    <col min="12798" max="12803" width="9.08984375" customWidth="1"/>
    <col min="12804" max="12804" width="6.81640625" customWidth="1"/>
    <col min="12805" max="12805" width="4" customWidth="1"/>
    <col min="12806" max="12806" width="5.81640625" customWidth="1"/>
    <col min="12807" max="13052" width="9.08984375" customWidth="1"/>
    <col min="13053" max="13053" width="12.08984375" customWidth="1"/>
    <col min="13054" max="13059" width="9.08984375" customWidth="1"/>
    <col min="13060" max="13060" width="6.81640625" customWidth="1"/>
    <col min="13061" max="13061" width="4" customWidth="1"/>
    <col min="13062" max="13062" width="5.81640625" customWidth="1"/>
    <col min="13063" max="13308" width="9.08984375" customWidth="1"/>
    <col min="13309" max="13309" width="12.08984375" customWidth="1"/>
    <col min="13310" max="13315" width="9.08984375" customWidth="1"/>
    <col min="13316" max="13316" width="6.81640625" customWidth="1"/>
    <col min="13317" max="13317" width="4" customWidth="1"/>
    <col min="13318" max="13318" width="5.81640625" customWidth="1"/>
    <col min="13319" max="13564" width="9.08984375" customWidth="1"/>
    <col min="13565" max="13565" width="12.08984375" customWidth="1"/>
    <col min="13566" max="13571" width="9.08984375" customWidth="1"/>
    <col min="13572" max="13572" width="6.81640625" customWidth="1"/>
    <col min="13573" max="13573" width="4" customWidth="1"/>
    <col min="13574" max="13574" width="5.81640625" customWidth="1"/>
    <col min="13575" max="13820" width="9.08984375" customWidth="1"/>
    <col min="13821" max="13821" width="12.08984375" customWidth="1"/>
    <col min="13822" max="13827" width="9.08984375" customWidth="1"/>
    <col min="13828" max="13828" width="6.81640625" customWidth="1"/>
    <col min="13829" max="13829" width="4" customWidth="1"/>
    <col min="13830" max="13830" width="5.81640625" customWidth="1"/>
    <col min="13831" max="14076" width="9.08984375" customWidth="1"/>
    <col min="14077" max="14077" width="12.08984375" customWidth="1"/>
    <col min="14078" max="14083" width="9.08984375" customWidth="1"/>
    <col min="14084" max="14084" width="6.81640625" customWidth="1"/>
    <col min="14085" max="14085" width="4" customWidth="1"/>
    <col min="14086" max="14086" width="5.81640625" customWidth="1"/>
    <col min="14087" max="14332" width="9.08984375" customWidth="1"/>
    <col min="14333" max="14333" width="12.08984375" customWidth="1"/>
    <col min="14334" max="14339" width="9.08984375" customWidth="1"/>
    <col min="14340" max="14340" width="6.81640625" customWidth="1"/>
    <col min="14341" max="14341" width="4" customWidth="1"/>
    <col min="14342" max="14342" width="5.81640625" customWidth="1"/>
    <col min="14343" max="14588" width="9.08984375" customWidth="1"/>
    <col min="14589" max="14589" width="12.08984375" customWidth="1"/>
    <col min="14590" max="14595" width="9.08984375" customWidth="1"/>
    <col min="14596" max="14596" width="6.81640625" customWidth="1"/>
    <col min="14597" max="14597" width="4" customWidth="1"/>
    <col min="14598" max="14598" width="5.81640625" customWidth="1"/>
    <col min="14599" max="14844" width="9.08984375" customWidth="1"/>
    <col min="14845" max="14845" width="12.08984375" customWidth="1"/>
    <col min="14846" max="14851" width="9.08984375" customWidth="1"/>
    <col min="14852" max="14852" width="6.81640625" customWidth="1"/>
    <col min="14853" max="14853" width="4" customWidth="1"/>
    <col min="14854" max="14854" width="5.81640625" customWidth="1"/>
    <col min="14855" max="15100" width="9.08984375" customWidth="1"/>
    <col min="15101" max="15101" width="12.08984375" customWidth="1"/>
    <col min="15102" max="15107" width="9.08984375" customWidth="1"/>
    <col min="15108" max="15108" width="6.81640625" customWidth="1"/>
    <col min="15109" max="15109" width="4" customWidth="1"/>
    <col min="15110" max="15110" width="5.81640625" customWidth="1"/>
    <col min="15111" max="15356" width="9.08984375" customWidth="1"/>
    <col min="15357" max="15357" width="12.08984375" customWidth="1"/>
    <col min="15358" max="15363" width="9.08984375" customWidth="1"/>
    <col min="15364" max="15364" width="6.81640625" customWidth="1"/>
    <col min="15365" max="15365" width="4" customWidth="1"/>
    <col min="15366" max="15366" width="5.81640625" customWidth="1"/>
    <col min="15367" max="15612" width="9.08984375" customWidth="1"/>
    <col min="15613" max="15613" width="12.08984375" customWidth="1"/>
    <col min="15614" max="15619" width="9.08984375" customWidth="1"/>
    <col min="15620" max="15620" width="6.81640625" customWidth="1"/>
    <col min="15621" max="15621" width="4" customWidth="1"/>
    <col min="15622" max="15622" width="5.81640625" customWidth="1"/>
    <col min="15623" max="15868" width="9.08984375" customWidth="1"/>
    <col min="15869" max="15869" width="12.08984375" customWidth="1"/>
    <col min="15870" max="15875" width="9.08984375" customWidth="1"/>
    <col min="15876" max="15876" width="6.81640625" customWidth="1"/>
    <col min="15877" max="15877" width="4" customWidth="1"/>
    <col min="15878" max="15878" width="5.81640625" customWidth="1"/>
    <col min="15879" max="16124" width="9.08984375" customWidth="1"/>
    <col min="16125" max="16125" width="12.08984375" customWidth="1"/>
    <col min="16126" max="16131" width="9.08984375" customWidth="1"/>
    <col min="16132" max="16132" width="6.81640625" customWidth="1"/>
    <col min="16133" max="16133" width="4" customWidth="1"/>
    <col min="16134" max="16134" width="5.81640625" customWidth="1"/>
    <col min="16135" max="16384" width="9.08984375" customWidth="1"/>
  </cols>
  <sheetData>
    <row r="1" spans="1:6">
      <c r="A1" s="1" t="s">
        <v>245</v>
      </c>
      <c r="B1" s="26"/>
      <c r="C1" s="26"/>
      <c r="D1" s="26"/>
      <c r="E1" s="26"/>
      <c r="F1" s="26"/>
    </row>
    <row r="2" spans="1:6">
      <c r="A2" s="21" t="s">
        <v>237</v>
      </c>
      <c r="B2" s="26"/>
      <c r="C2" s="26"/>
      <c r="D2" s="26"/>
      <c r="E2" s="26"/>
      <c r="F2" s="26"/>
    </row>
    <row r="3" spans="1:6">
      <c r="A3" s="23" t="s">
        <v>238</v>
      </c>
      <c r="B3" s="26"/>
      <c r="C3" s="26"/>
      <c r="D3" s="26"/>
      <c r="E3" s="26"/>
      <c r="F3" s="26"/>
    </row>
    <row r="4" spans="1:6">
      <c r="A4" s="23"/>
      <c r="B4" s="26"/>
      <c r="C4" s="26"/>
      <c r="D4" s="26"/>
      <c r="E4" s="26"/>
      <c r="F4" s="26"/>
    </row>
    <row r="5" spans="1:6" ht="15" thickBot="1">
      <c r="A5" s="102" t="s">
        <v>1</v>
      </c>
      <c r="B5" s="103"/>
      <c r="C5" s="94" t="s">
        <v>239</v>
      </c>
      <c r="D5" s="26"/>
      <c r="E5" s="26"/>
      <c r="F5" s="26"/>
    </row>
    <row r="6" spans="1:6" ht="15" thickTop="1">
      <c r="A6" s="128" t="s">
        <v>47</v>
      </c>
      <c r="B6" s="28">
        <v>200</v>
      </c>
      <c r="C6" s="1" t="s">
        <v>279</v>
      </c>
      <c r="D6" s="26"/>
      <c r="E6" s="26"/>
      <c r="F6" s="26"/>
    </row>
    <row r="7" spans="1:6">
      <c r="A7" s="48" t="s">
        <v>48</v>
      </c>
      <c r="B7" s="28">
        <v>0.3</v>
      </c>
      <c r="C7" s="1" t="s">
        <v>49</v>
      </c>
      <c r="D7" s="26"/>
      <c r="E7" s="26"/>
      <c r="F7" s="26"/>
    </row>
    <row r="8" spans="1:6">
      <c r="A8" s="6" t="s">
        <v>224</v>
      </c>
      <c r="B8" s="37">
        <f>1.3*(B7)</f>
        <v>0.39</v>
      </c>
      <c r="C8" s="6" t="s">
        <v>50</v>
      </c>
      <c r="D8" s="26"/>
      <c r="E8" s="26"/>
      <c r="F8" s="26"/>
    </row>
    <row r="9" spans="1:6">
      <c r="A9" s="128" t="s">
        <v>225</v>
      </c>
      <c r="B9" s="28">
        <v>1</v>
      </c>
      <c r="C9" s="1" t="s">
        <v>277</v>
      </c>
      <c r="D9" s="26"/>
      <c r="E9" s="26"/>
      <c r="F9" s="26"/>
    </row>
    <row r="10" spans="1:6">
      <c r="A10" s="128" t="s">
        <v>218</v>
      </c>
      <c r="B10" s="28">
        <v>-1</v>
      </c>
      <c r="C10" s="1" t="s">
        <v>247</v>
      </c>
      <c r="D10" s="26"/>
      <c r="E10" s="26"/>
      <c r="F10" s="26"/>
    </row>
    <row r="11" spans="1:6">
      <c r="A11" s="128" t="s">
        <v>51</v>
      </c>
      <c r="B11" s="28">
        <v>8</v>
      </c>
      <c r="C11" s="1" t="s">
        <v>52</v>
      </c>
      <c r="D11" s="26"/>
      <c r="E11" s="26"/>
      <c r="F11" s="26"/>
    </row>
    <row r="12" spans="1:6">
      <c r="A12" s="128" t="s">
        <v>219</v>
      </c>
      <c r="B12" s="28">
        <v>0</v>
      </c>
      <c r="C12" s="1" t="s">
        <v>220</v>
      </c>
      <c r="D12" s="26"/>
      <c r="E12" s="26"/>
      <c r="F12" s="26"/>
    </row>
    <row r="13" spans="1:6">
      <c r="A13" s="135" t="s">
        <v>42</v>
      </c>
      <c r="B13" s="27">
        <v>0.75</v>
      </c>
      <c r="C13" s="1" t="s">
        <v>276</v>
      </c>
      <c r="D13" s="26"/>
      <c r="E13" s="26"/>
      <c r="F13" s="26"/>
    </row>
    <row r="14" spans="1:6">
      <c r="A14" s="26"/>
      <c r="B14" s="26"/>
      <c r="C14" s="1" t="s">
        <v>284</v>
      </c>
      <c r="D14" s="26"/>
      <c r="E14" s="26"/>
      <c r="F14" s="26"/>
    </row>
    <row r="15" spans="1:6">
      <c r="A15" s="26"/>
      <c r="B15" s="26"/>
      <c r="C15" s="6"/>
      <c r="D15" s="26"/>
      <c r="E15" s="26"/>
      <c r="F15" s="26"/>
    </row>
    <row r="16" spans="1:6" ht="15" thickBot="1">
      <c r="A16" s="5" t="s">
        <v>53</v>
      </c>
      <c r="B16" s="29"/>
      <c r="C16" s="29"/>
      <c r="D16" s="29"/>
      <c r="E16" s="26"/>
      <c r="F16" s="26"/>
    </row>
    <row r="17" spans="1:12" ht="15" thickTop="1">
      <c r="A17" s="6" t="s">
        <v>226</v>
      </c>
      <c r="B17" s="38">
        <f>U63</f>
        <v>3.1795789999999999</v>
      </c>
      <c r="C17" s="26" t="s">
        <v>248</v>
      </c>
      <c r="D17" s="26"/>
      <c r="E17" s="39"/>
      <c r="F17" s="26"/>
    </row>
    <row r="18" spans="1:12">
      <c r="A18" s="6" t="s">
        <v>227</v>
      </c>
      <c r="B18" s="38">
        <f>U64</f>
        <v>1.2459993457435328</v>
      </c>
      <c r="C18" s="26" t="s">
        <v>249</v>
      </c>
      <c r="D18" s="26"/>
      <c r="E18" s="26"/>
      <c r="F18" s="26"/>
    </row>
    <row r="19" spans="1:12">
      <c r="A19" s="6" t="s">
        <v>228</v>
      </c>
      <c r="B19" s="38">
        <f>U43</f>
        <v>3.2596989999999999</v>
      </c>
      <c r="C19" s="6" t="s">
        <v>248</v>
      </c>
      <c r="D19" s="26"/>
      <c r="E19" s="26">
        <f>IF(B10&gt;0,U45,U65)</f>
        <v>5.4284896315386022E-2</v>
      </c>
      <c r="F19" s="26"/>
    </row>
    <row r="20" spans="1:12">
      <c r="A20" s="6" t="s">
        <v>229</v>
      </c>
      <c r="B20" s="38" t="e">
        <f>U44</f>
        <v>#NUM!</v>
      </c>
      <c r="C20" s="6" t="s">
        <v>250</v>
      </c>
      <c r="D20" s="26"/>
      <c r="E20" s="26"/>
      <c r="F20" s="26"/>
    </row>
    <row r="21" spans="1:12">
      <c r="A21" s="26"/>
      <c r="B21" s="37"/>
      <c r="C21" s="26"/>
      <c r="D21" s="37"/>
      <c r="E21" s="26"/>
      <c r="F21" s="26"/>
    </row>
    <row r="22" spans="1:12" ht="15" thickBot="1">
      <c r="A22" s="136" t="s">
        <v>59</v>
      </c>
      <c r="B22" s="137"/>
      <c r="C22" s="138"/>
      <c r="D22" s="137"/>
      <c r="E22" s="26"/>
      <c r="F22" s="26"/>
    </row>
    <row r="23" spans="1:12" ht="15" thickTop="1">
      <c r="A23" s="15" t="s">
        <v>60</v>
      </c>
      <c r="B23" s="139">
        <f>MAX(0.03, IFERROR(E19, 0.03))</f>
        <v>5.4284896315386022E-2</v>
      </c>
      <c r="C23" s="16" t="s">
        <v>278</v>
      </c>
      <c r="D23" s="42"/>
      <c r="E23" s="26"/>
      <c r="F23" s="26"/>
    </row>
    <row r="24" spans="1:12">
      <c r="A24" s="6"/>
      <c r="B24" s="14"/>
      <c r="D24" s="17"/>
    </row>
    <row r="25" spans="1:12">
      <c r="A25" s="6" t="s">
        <v>280</v>
      </c>
      <c r="I25" s="18"/>
      <c r="J25" s="6"/>
      <c r="K25" s="95">
        <f>(B6)</f>
        <v>200</v>
      </c>
      <c r="L25" t="s">
        <v>281</v>
      </c>
    </row>
    <row r="29" spans="1:12">
      <c r="C29" s="6"/>
    </row>
    <row r="30" spans="1:12" hidden="1"/>
    <row r="31" spans="1:12" hidden="1"/>
    <row r="32" spans="1:12" hidden="1"/>
    <row r="33" spans="1:37" hidden="1"/>
    <row r="34" spans="1:37" hidden="1"/>
    <row r="35" spans="1:37" hidden="1"/>
    <row r="36" spans="1:37" hidden="1">
      <c r="M36" s="95"/>
    </row>
    <row r="37" spans="1:37" hidden="1">
      <c r="Q37" t="s">
        <v>270</v>
      </c>
    </row>
    <row r="38" spans="1:37" hidden="1">
      <c r="T38" t="s">
        <v>271</v>
      </c>
      <c r="U38" s="129">
        <f>R41</f>
        <v>-0.36488900000000002</v>
      </c>
      <c r="AA38" t="s">
        <v>194</v>
      </c>
      <c r="AF38" t="s">
        <v>195</v>
      </c>
    </row>
    <row r="39" spans="1:37" hidden="1">
      <c r="Q39" t="s">
        <v>204</v>
      </c>
      <c r="R39">
        <f>AK40</f>
        <v>-6.2047030000000003</v>
      </c>
      <c r="T39" t="s">
        <v>272</v>
      </c>
      <c r="U39" s="129">
        <f>R40+R42*LN($B$9)</f>
        <v>-3.2596989999999999</v>
      </c>
      <c r="Y39" s="131" t="s">
        <v>202</v>
      </c>
      <c r="Z39" s="131"/>
      <c r="AA39" s="21"/>
      <c r="AB39" s="131" t="s">
        <v>203</v>
      </c>
      <c r="AC39" s="131"/>
      <c r="AD39" s="131" t="s">
        <v>202</v>
      </c>
      <c r="AE39" s="131"/>
      <c r="AF39" s="21"/>
      <c r="AG39" s="131" t="s">
        <v>203</v>
      </c>
      <c r="AH39" s="131"/>
      <c r="AJ39" s="1" t="s">
        <v>214</v>
      </c>
    </row>
    <row r="40" spans="1:37" hidden="1">
      <c r="A40" s="95"/>
      <c r="B40" s="95"/>
      <c r="C40" s="95"/>
      <c r="Q40" t="s">
        <v>205</v>
      </c>
      <c r="R40">
        <f t="shared" ref="R40:R47" si="0">AK41</f>
        <v>-3.2596989999999999</v>
      </c>
      <c r="T40" t="s">
        <v>273</v>
      </c>
      <c r="U40" s="129" t="e">
        <f>R39+R43*LN($B$9)+R44*LN($B$9)^2+R45*$B$7+R46*$B$7^2+R47*$B$11+R48*LN($B$10)-LN($B$6)-$B$13</f>
        <v>#NUM!</v>
      </c>
      <c r="Y40" s="129" t="s">
        <v>204</v>
      </c>
      <c r="Z40" s="20">
        <v>-5.6229360000000002</v>
      </c>
      <c r="AA40" s="54"/>
      <c r="AB40" t="s">
        <v>204</v>
      </c>
      <c r="AC40" s="20">
        <v>-6.2047030000000003</v>
      </c>
      <c r="AD40" t="s">
        <v>204</v>
      </c>
      <c r="AE40" s="20">
        <v>-5.9129389999999997</v>
      </c>
      <c r="AF40" s="54"/>
      <c r="AG40" t="s">
        <v>204</v>
      </c>
      <c r="AH40" s="20">
        <v>-6.3403929999999997</v>
      </c>
      <c r="AJ40" t="s">
        <v>204</v>
      </c>
      <c r="AK40">
        <f t="shared" ref="AK40:AK50" si="1">IF($B$7&lt;=0.1,Z40,AC40)*(1-$B$12) + $B$12*(IF($B$7&lt;=0.1,AE40,AH40))</f>
        <v>-6.2047030000000003</v>
      </c>
    </row>
    <row r="41" spans="1:37" hidden="1">
      <c r="Q41" t="s">
        <v>206</v>
      </c>
      <c r="R41">
        <f t="shared" si="0"/>
        <v>-0.36488900000000002</v>
      </c>
      <c r="T41" t="s">
        <v>274</v>
      </c>
      <c r="U41" s="129" t="e">
        <f>EXP((-U39-SQRT(U39^2-4*U38*U40))/(2*U38))</f>
        <v>#NUM!</v>
      </c>
      <c r="Y41" s="129" t="s">
        <v>205</v>
      </c>
      <c r="Z41" s="20">
        <v>-3.2596989999999999</v>
      </c>
      <c r="AB41" t="s">
        <v>205</v>
      </c>
      <c r="AC41" s="122">
        <f>Z41</f>
        <v>-3.2596989999999999</v>
      </c>
      <c r="AD41" t="s">
        <v>205</v>
      </c>
      <c r="AE41" s="20">
        <v>-2.3616709999999999</v>
      </c>
      <c r="AG41" t="s">
        <v>205</v>
      </c>
      <c r="AH41" s="122">
        <f>AE41</f>
        <v>-2.3616709999999999</v>
      </c>
      <c r="AJ41" t="s">
        <v>205</v>
      </c>
      <c r="AK41">
        <f t="shared" si="1"/>
        <v>-3.2596989999999999</v>
      </c>
    </row>
    <row r="42" spans="1:37" hidden="1">
      <c r="Q42" t="s">
        <v>207</v>
      </c>
      <c r="R42">
        <f t="shared" si="0"/>
        <v>0.47950399999999999</v>
      </c>
      <c r="Y42" s="129" t="s">
        <v>206</v>
      </c>
      <c r="Z42" s="20">
        <v>-0.36488900000000002</v>
      </c>
      <c r="AB42" t="s">
        <v>206</v>
      </c>
      <c r="AC42" s="122">
        <f t="shared" ref="AC42:AC45" si="2">Z42</f>
        <v>-0.36488900000000002</v>
      </c>
      <c r="AD42" t="s">
        <v>206</v>
      </c>
      <c r="AE42" s="20">
        <v>-0.22469800000000001</v>
      </c>
      <c r="AG42" t="s">
        <v>206</v>
      </c>
      <c r="AH42" s="122">
        <f t="shared" ref="AH42:AH45" si="3">AE42</f>
        <v>-0.22469800000000001</v>
      </c>
      <c r="AJ42" t="s">
        <v>206</v>
      </c>
      <c r="AK42">
        <f t="shared" si="1"/>
        <v>-0.36488900000000002</v>
      </c>
    </row>
    <row r="43" spans="1:37" hidden="1">
      <c r="Q43" t="s">
        <v>208</v>
      </c>
      <c r="R43">
        <f t="shared" si="0"/>
        <v>2.6232220000000002</v>
      </c>
      <c r="T43" t="s">
        <v>275</v>
      </c>
      <c r="U43" s="129">
        <f>-R40-R42*LN($B$9)</f>
        <v>3.2596989999999999</v>
      </c>
      <c r="Y43" s="129" t="s">
        <v>207</v>
      </c>
      <c r="Z43" s="20">
        <v>0.47950399999999999</v>
      </c>
      <c r="AB43" t="s">
        <v>207</v>
      </c>
      <c r="AC43" s="122">
        <f t="shared" si="2"/>
        <v>0.47950399999999999</v>
      </c>
      <c r="AD43" t="s">
        <v>207</v>
      </c>
      <c r="AE43" s="20">
        <v>0.25724599999999997</v>
      </c>
      <c r="AG43" t="s">
        <v>207</v>
      </c>
      <c r="AH43" s="122">
        <f t="shared" si="3"/>
        <v>0.25724599999999997</v>
      </c>
      <c r="AJ43" t="s">
        <v>207</v>
      </c>
      <c r="AK43">
        <f t="shared" si="1"/>
        <v>0.47950399999999999</v>
      </c>
    </row>
    <row r="44" spans="1:37" hidden="1">
      <c r="Q44" t="s">
        <v>209</v>
      </c>
      <c r="R44">
        <f t="shared" si="0"/>
        <v>-0.12447800000000001</v>
      </c>
      <c r="T44" t="s">
        <v>38</v>
      </c>
      <c r="U44" s="129" t="e">
        <f>U43^2-4*R41*(R39+R43*LN($B$9)+R44*LN($B$9)^2+R45*$B$7+R46*$B$7^2+R47*$B$11+R48*LN($B$10)-LN($B$6)+$B$13)</f>
        <v>#NUM!</v>
      </c>
      <c r="Y44" s="129" t="s">
        <v>208</v>
      </c>
      <c r="Z44" s="20">
        <v>2.6232220000000002</v>
      </c>
      <c r="AB44" t="s">
        <v>208</v>
      </c>
      <c r="AC44" s="122">
        <f t="shared" si="2"/>
        <v>2.6232220000000002</v>
      </c>
      <c r="AD44" t="s">
        <v>208</v>
      </c>
      <c r="AE44" s="20">
        <v>1.967684</v>
      </c>
      <c r="AG44" t="s">
        <v>208</v>
      </c>
      <c r="AH44" s="122">
        <f t="shared" si="3"/>
        <v>1.967684</v>
      </c>
      <c r="AJ44" t="s">
        <v>208</v>
      </c>
      <c r="AK44">
        <f t="shared" si="1"/>
        <v>2.6232220000000002</v>
      </c>
    </row>
    <row r="45" spans="1:37" hidden="1">
      <c r="Q45" t="s">
        <v>210</v>
      </c>
      <c r="R45">
        <f t="shared" si="0"/>
        <v>2.0583840000000002</v>
      </c>
      <c r="T45" t="s">
        <v>274</v>
      </c>
      <c r="U45" s="129" t="e">
        <f>EXP((-U43+SQRT(U44))/(-2*R41))</f>
        <v>#NUM!</v>
      </c>
      <c r="Y45" s="129" t="s">
        <v>209</v>
      </c>
      <c r="Z45" s="20">
        <v>-0.12447800000000001</v>
      </c>
      <c r="AB45" t="s">
        <v>209</v>
      </c>
      <c r="AC45" s="122">
        <f t="shared" si="2"/>
        <v>-0.12447800000000001</v>
      </c>
      <c r="AD45" t="s">
        <v>209</v>
      </c>
      <c r="AE45" s="20">
        <v>-2.0240000000000001E-2</v>
      </c>
      <c r="AG45" t="s">
        <v>209</v>
      </c>
      <c r="AH45" s="122">
        <f t="shared" si="3"/>
        <v>-2.0240000000000001E-2</v>
      </c>
      <c r="AJ45" t="s">
        <v>209</v>
      </c>
      <c r="AK45">
        <f t="shared" si="1"/>
        <v>-0.12447800000000001</v>
      </c>
    </row>
    <row r="46" spans="1:37" hidden="1">
      <c r="Q46" t="s">
        <v>211</v>
      </c>
      <c r="R46">
        <f t="shared" si="0"/>
        <v>-0.73112600000000005</v>
      </c>
      <c r="Y46" s="129" t="s">
        <v>210</v>
      </c>
      <c r="Z46" s="20">
        <v>-5.254232</v>
      </c>
      <c r="AB46" t="s">
        <v>210</v>
      </c>
      <c r="AC46" s="20">
        <v>2.0583840000000002</v>
      </c>
      <c r="AD46" t="s">
        <v>210</v>
      </c>
      <c r="AE46" s="20">
        <v>-3.8937759999999999</v>
      </c>
      <c r="AG46" t="s">
        <v>210</v>
      </c>
      <c r="AH46" s="20">
        <v>2.317634</v>
      </c>
      <c r="AJ46" t="s">
        <v>210</v>
      </c>
      <c r="AK46">
        <f t="shared" si="1"/>
        <v>2.0583840000000002</v>
      </c>
    </row>
    <row r="47" spans="1:37" hidden="1">
      <c r="Q47" t="s">
        <v>212</v>
      </c>
      <c r="R47">
        <f t="shared" si="0"/>
        <v>0.18568899999999999</v>
      </c>
      <c r="Y47" s="129" t="s">
        <v>211</v>
      </c>
      <c r="Z47" s="20">
        <v>0</v>
      </c>
      <c r="AA47" s="53"/>
      <c r="AB47" t="s">
        <v>211</v>
      </c>
      <c r="AC47" s="20">
        <v>-0.73112600000000005</v>
      </c>
      <c r="AD47" t="s">
        <v>211</v>
      </c>
      <c r="AE47" s="20">
        <v>0</v>
      </c>
      <c r="AF47" s="53"/>
      <c r="AG47" t="s">
        <v>211</v>
      </c>
      <c r="AH47" s="20">
        <v>-0.90371800000000002</v>
      </c>
      <c r="AJ47" t="s">
        <v>211</v>
      </c>
      <c r="AK47">
        <f t="shared" si="1"/>
        <v>-0.73112600000000005</v>
      </c>
    </row>
    <row r="48" spans="1:37" hidden="1">
      <c r="A48" s="1"/>
      <c r="Q48" t="s">
        <v>216</v>
      </c>
      <c r="R48">
        <f>AK49</f>
        <v>0.62324999999999997</v>
      </c>
      <c r="Y48" s="129" t="s">
        <v>212</v>
      </c>
      <c r="Z48">
        <v>0.18568899999999999</v>
      </c>
      <c r="AB48" t="s">
        <v>212</v>
      </c>
      <c r="AC48" s="123">
        <f>Z48</f>
        <v>0.18568899999999999</v>
      </c>
      <c r="AD48" t="s">
        <v>212</v>
      </c>
      <c r="AE48">
        <v>0.37969900000000001</v>
      </c>
      <c r="AG48" t="s">
        <v>212</v>
      </c>
      <c r="AH48" s="123">
        <f>AE48</f>
        <v>0.37969900000000001</v>
      </c>
      <c r="AJ48" t="s">
        <v>212</v>
      </c>
      <c r="AK48">
        <f t="shared" si="1"/>
        <v>0.18568899999999999</v>
      </c>
    </row>
    <row r="49" spans="1:42" hidden="1">
      <c r="Y49" s="129" t="s">
        <v>216</v>
      </c>
      <c r="Z49" s="14">
        <v>0.62324999999999997</v>
      </c>
      <c r="AA49" t="s">
        <v>254</v>
      </c>
      <c r="AB49" t="s">
        <v>216</v>
      </c>
      <c r="AC49" s="14">
        <v>0.73391700000000004</v>
      </c>
      <c r="AD49" t="s">
        <v>216</v>
      </c>
      <c r="AE49" s="14">
        <v>0.68351700000000004</v>
      </c>
      <c r="AF49" t="s">
        <v>256</v>
      </c>
      <c r="AG49" t="s">
        <v>216</v>
      </c>
      <c r="AH49" s="14">
        <v>0.71945899999999996</v>
      </c>
      <c r="AI49" t="s">
        <v>257</v>
      </c>
      <c r="AJ49" t="s">
        <v>216</v>
      </c>
      <c r="AK49">
        <f>IF($B$10&lt;=10,Z49,AC49)*(1-$B$12) + $B$12*(IF($B$10&lt;=30,AE49,AH49))</f>
        <v>0.62324999999999997</v>
      </c>
    </row>
    <row r="50" spans="1:42" hidden="1">
      <c r="Y50" s="129" t="s">
        <v>217</v>
      </c>
      <c r="Z50">
        <v>0.65</v>
      </c>
      <c r="AB50" t="s">
        <v>217</v>
      </c>
      <c r="AC50" s="123">
        <f>Z50</f>
        <v>0.65</v>
      </c>
      <c r="AD50" t="s">
        <v>217</v>
      </c>
      <c r="AE50">
        <v>0.53</v>
      </c>
      <c r="AG50" t="s">
        <v>217</v>
      </c>
      <c r="AH50" s="123">
        <f>AE50</f>
        <v>0.53</v>
      </c>
      <c r="AJ50" t="s">
        <v>217</v>
      </c>
      <c r="AK50">
        <f t="shared" si="1"/>
        <v>0.65</v>
      </c>
    </row>
    <row r="51" spans="1:42" hidden="1"/>
    <row r="52" spans="1:42" hidden="1"/>
    <row r="53" spans="1:42" hidden="1"/>
    <row r="54" spans="1:42" hidden="1"/>
    <row r="55" spans="1:42" hidden="1"/>
    <row r="56" spans="1:42" hidden="1">
      <c r="M56" s="95"/>
      <c r="Y56" s="1"/>
    </row>
    <row r="57" spans="1:42" hidden="1">
      <c r="Q57" t="s">
        <v>270</v>
      </c>
    </row>
    <row r="58" spans="1:42" hidden="1">
      <c r="T58" t="s">
        <v>271</v>
      </c>
      <c r="U58" s="129">
        <f>R61</f>
        <v>-0.35409800000000002</v>
      </c>
      <c r="AA58" t="s">
        <v>194</v>
      </c>
      <c r="AJ58" t="s">
        <v>195</v>
      </c>
    </row>
    <row r="59" spans="1:42" hidden="1">
      <c r="Q59" t="s">
        <v>204</v>
      </c>
      <c r="R59">
        <f>AP60</f>
        <v>-6.1924729999999997</v>
      </c>
      <c r="T59" t="s">
        <v>272</v>
      </c>
      <c r="U59" s="129">
        <f>R60+R62*LN($B$9)</f>
        <v>-3.1795789999999999</v>
      </c>
      <c r="Y59" s="131" t="s">
        <v>202</v>
      </c>
      <c r="Z59" s="131"/>
      <c r="AA59" s="21"/>
      <c r="AB59" s="131" t="s">
        <v>203</v>
      </c>
      <c r="AC59" s="131"/>
      <c r="AH59" s="131" t="s">
        <v>202</v>
      </c>
      <c r="AI59" s="131"/>
      <c r="AJ59" s="21"/>
      <c r="AK59" s="131" t="s">
        <v>203</v>
      </c>
      <c r="AL59" s="131"/>
      <c r="AO59" s="1" t="s">
        <v>200</v>
      </c>
    </row>
    <row r="60" spans="1:42" hidden="1">
      <c r="A60" s="1"/>
      <c r="Q60" t="s">
        <v>205</v>
      </c>
      <c r="R60">
        <f t="shared" ref="R60:R67" si="4">AP61</f>
        <v>-3.1795789999999999</v>
      </c>
      <c r="T60" t="s">
        <v>273</v>
      </c>
      <c r="U60" s="129">
        <f>R59+R63*LN($B$9)+R64*LN($B$9)^2+R65*$B$7+R66*$B$7^2+R67*$B$11-LN($B$6)-$B$13</f>
        <v>-7.7579591465480355</v>
      </c>
      <c r="Y60" s="129" t="s">
        <v>204</v>
      </c>
      <c r="Z60" s="20">
        <v>-5.0033779999999997</v>
      </c>
      <c r="AA60" s="54"/>
      <c r="AB60" t="s">
        <v>204</v>
      </c>
      <c r="AC60" s="20">
        <v>-6.1924729999999997</v>
      </c>
      <c r="AH60" t="s">
        <v>204</v>
      </c>
      <c r="AI60" s="20">
        <v>-4.1262049999999997</v>
      </c>
      <c r="AJ60" s="54"/>
      <c r="AK60" t="s">
        <v>204</v>
      </c>
      <c r="AL60" s="20">
        <v>-5.2745759999999997</v>
      </c>
      <c r="AO60" t="s">
        <v>204</v>
      </c>
      <c r="AP60">
        <f>IF($B$7&lt;=0.1,Z60,AC60)*(1-$B$12) + $B$12*(IF($B$7&lt;=0.1,AI60,AL60))</f>
        <v>-6.1924729999999997</v>
      </c>
    </row>
    <row r="61" spans="1:42" hidden="1">
      <c r="Q61" t="s">
        <v>206</v>
      </c>
      <c r="R61">
        <f t="shared" si="4"/>
        <v>-0.35409800000000002</v>
      </c>
      <c r="T61" t="s">
        <v>274</v>
      </c>
      <c r="U61" s="129" t="e">
        <f>EXP((-U59-SQRT(U59^2-4*U58*U60))/(2*U58))</f>
        <v>#NUM!</v>
      </c>
      <c r="Y61" s="129" t="s">
        <v>205</v>
      </c>
      <c r="Z61" s="20">
        <v>-3.1795789999999999</v>
      </c>
      <c r="AB61" t="s">
        <v>205</v>
      </c>
      <c r="AC61" s="122">
        <f>Z61</f>
        <v>-3.1795789999999999</v>
      </c>
      <c r="AH61" t="s">
        <v>205</v>
      </c>
      <c r="AI61" s="20">
        <v>-2.2174119999999999</v>
      </c>
      <c r="AK61" t="s">
        <v>205</v>
      </c>
      <c r="AL61" s="122">
        <f>AI61</f>
        <v>-2.2174119999999999</v>
      </c>
      <c r="AO61" t="s">
        <v>205</v>
      </c>
      <c r="AP61">
        <f t="shared" ref="AP61:AP69" si="5">IF($B$7&lt;=0.1,Z61,AC61)*(1-$B$12) + $B$12*(IF($B$7&lt;=0.1,AI61,AL61))</f>
        <v>-3.1795789999999999</v>
      </c>
    </row>
    <row r="62" spans="1:42" hidden="1">
      <c r="Q62" t="s">
        <v>207</v>
      </c>
      <c r="R62">
        <f t="shared" si="4"/>
        <v>0.451372</v>
      </c>
      <c r="Y62" s="129" t="s">
        <v>206</v>
      </c>
      <c r="Z62" s="20">
        <v>-0.35409800000000002</v>
      </c>
      <c r="AB62" t="s">
        <v>206</v>
      </c>
      <c r="AC62" s="122">
        <f t="shared" ref="AC62:AC65" si="6">Z62</f>
        <v>-0.35409800000000002</v>
      </c>
      <c r="AH62" t="s">
        <v>206</v>
      </c>
      <c r="AI62" s="20">
        <v>-0.200318</v>
      </c>
      <c r="AK62" t="s">
        <v>206</v>
      </c>
      <c r="AL62" s="122">
        <f>AI62</f>
        <v>-0.200318</v>
      </c>
      <c r="AO62" t="s">
        <v>206</v>
      </c>
      <c r="AP62">
        <f t="shared" si="5"/>
        <v>-0.35409800000000002</v>
      </c>
    </row>
    <row r="63" spans="1:42" hidden="1">
      <c r="Q63" t="s">
        <v>208</v>
      </c>
      <c r="R63">
        <f t="shared" si="4"/>
        <v>2.8996689999999998</v>
      </c>
      <c r="T63" t="s">
        <v>275</v>
      </c>
      <c r="U63" s="129">
        <f>-R60-R62*LN($B$9)</f>
        <v>3.1795789999999999</v>
      </c>
      <c r="Y63" s="129" t="s">
        <v>207</v>
      </c>
      <c r="Z63" s="20">
        <v>0.451372</v>
      </c>
      <c r="AB63" t="s">
        <v>207</v>
      </c>
      <c r="AC63" s="122">
        <f t="shared" si="6"/>
        <v>0.451372</v>
      </c>
      <c r="AH63" t="s">
        <v>207</v>
      </c>
      <c r="AI63" s="20">
        <v>0.21513599999999999</v>
      </c>
      <c r="AK63" t="s">
        <v>207</v>
      </c>
      <c r="AL63" s="122">
        <f>AI63</f>
        <v>0.21513599999999999</v>
      </c>
      <c r="AO63" t="s">
        <v>207</v>
      </c>
      <c r="AP63">
        <f t="shared" si="5"/>
        <v>0.451372</v>
      </c>
    </row>
    <row r="64" spans="1:42" hidden="1">
      <c r="Q64" t="s">
        <v>209</v>
      </c>
      <c r="R64">
        <f t="shared" si="4"/>
        <v>-0.14363300000000001</v>
      </c>
      <c r="T64" t="s">
        <v>38</v>
      </c>
      <c r="U64" s="129">
        <f>U63^2-4*R61*(R59+R63*LN($B$9)+R64*LN($B$9)^2+R65*$B$7+R66*$B$7^2+R67*$B$11-LN($B$6)+$B$13)</f>
        <v>1.2459993457435328</v>
      </c>
      <c r="Y64" s="129" t="s">
        <v>208</v>
      </c>
      <c r="Z64" s="20">
        <v>2.8996689999999998</v>
      </c>
      <c r="AB64" t="s">
        <v>208</v>
      </c>
      <c r="AC64" s="122">
        <f t="shared" si="6"/>
        <v>2.8996689999999998</v>
      </c>
      <c r="AH64" t="s">
        <v>208</v>
      </c>
      <c r="AI64" s="20">
        <v>2.3136269999999999</v>
      </c>
      <c r="AK64" t="s">
        <v>208</v>
      </c>
      <c r="AL64" s="122">
        <f>AI64</f>
        <v>2.3136269999999999</v>
      </c>
      <c r="AO64" t="s">
        <v>208</v>
      </c>
      <c r="AP64">
        <f t="shared" si="5"/>
        <v>2.8996689999999998</v>
      </c>
    </row>
    <row r="65" spans="17:42" hidden="1">
      <c r="Q65" t="s">
        <v>210</v>
      </c>
      <c r="R65">
        <f t="shared" si="4"/>
        <v>2.87121</v>
      </c>
      <c r="T65" t="s">
        <v>274</v>
      </c>
      <c r="U65" s="129">
        <f>EXP((-U63+SQRT(U64))/(-2*R61))</f>
        <v>5.4284896315386022E-2</v>
      </c>
      <c r="Y65" s="129" t="s">
        <v>209</v>
      </c>
      <c r="Z65" s="20">
        <v>-0.14363300000000001</v>
      </c>
      <c r="AB65" t="s">
        <v>209</v>
      </c>
      <c r="AC65" s="122">
        <f t="shared" si="6"/>
        <v>-0.14363300000000001</v>
      </c>
      <c r="AH65" t="s">
        <v>209</v>
      </c>
      <c r="AI65" s="20">
        <v>-2.1602E-2</v>
      </c>
      <c r="AK65" t="s">
        <v>209</v>
      </c>
      <c r="AL65" s="122">
        <f>AI65</f>
        <v>-2.1602E-2</v>
      </c>
      <c r="AO65" t="s">
        <v>209</v>
      </c>
      <c r="AP65">
        <f t="shared" si="5"/>
        <v>-0.14363300000000001</v>
      </c>
    </row>
    <row r="66" spans="17:42" hidden="1">
      <c r="Q66" t="s">
        <v>211</v>
      </c>
      <c r="R66">
        <f t="shared" si="4"/>
        <v>-0.85764200000000002</v>
      </c>
      <c r="Y66" s="129" t="s">
        <v>210</v>
      </c>
      <c r="Z66" s="20">
        <v>-9.4619350000000004</v>
      </c>
      <c r="AB66" t="s">
        <v>210</v>
      </c>
      <c r="AC66" s="20">
        <v>2.87121</v>
      </c>
      <c r="AH66" t="s">
        <v>210</v>
      </c>
      <c r="AI66" s="20">
        <v>-9.4476469999999999</v>
      </c>
      <c r="AK66" t="s">
        <v>210</v>
      </c>
      <c r="AL66" s="20">
        <v>3.6280969999999999</v>
      </c>
      <c r="AO66" t="s">
        <v>210</v>
      </c>
      <c r="AP66">
        <f t="shared" si="5"/>
        <v>2.87121</v>
      </c>
    </row>
    <row r="67" spans="17:42" hidden="1">
      <c r="Q67" t="s">
        <v>212</v>
      </c>
      <c r="R67">
        <f t="shared" si="4"/>
        <v>0.46233200000000002</v>
      </c>
      <c r="Y67" s="129" t="s">
        <v>211</v>
      </c>
      <c r="Z67" s="20">
        <v>0</v>
      </c>
      <c r="AA67" s="53"/>
      <c r="AB67" t="s">
        <v>211</v>
      </c>
      <c r="AC67" s="20">
        <v>-0.85764200000000002</v>
      </c>
      <c r="AH67" t="s">
        <v>211</v>
      </c>
      <c r="AI67" s="20">
        <v>0</v>
      </c>
      <c r="AJ67" s="53"/>
      <c r="AK67" t="s">
        <v>211</v>
      </c>
      <c r="AL67" s="20">
        <v>-1.101618</v>
      </c>
      <c r="AO67" t="s">
        <v>211</v>
      </c>
      <c r="AP67">
        <f t="shared" si="5"/>
        <v>-0.85764200000000002</v>
      </c>
    </row>
    <row r="68" spans="17:42" ht="8.25" hidden="1" customHeight="1">
      <c r="Y68" s="129" t="s">
        <v>212</v>
      </c>
      <c r="Z68">
        <v>0.46233200000000002</v>
      </c>
      <c r="AB68" t="s">
        <v>212</v>
      </c>
      <c r="AC68" s="123">
        <f>Z68</f>
        <v>0.46233200000000002</v>
      </c>
      <c r="AF68" s="14"/>
      <c r="AH68" t="s">
        <v>212</v>
      </c>
      <c r="AI68">
        <v>0.5</v>
      </c>
      <c r="AK68" t="s">
        <v>212</v>
      </c>
      <c r="AL68" s="123">
        <f>AI68</f>
        <v>0.5</v>
      </c>
      <c r="AO68" t="s">
        <v>212</v>
      </c>
      <c r="AP68">
        <f t="shared" si="5"/>
        <v>0.46233200000000002</v>
      </c>
    </row>
    <row r="69" spans="17:42" hidden="1">
      <c r="Y69" s="129" t="s">
        <v>213</v>
      </c>
      <c r="Z69" s="14">
        <v>0.75</v>
      </c>
      <c r="AB69" t="s">
        <v>213</v>
      </c>
      <c r="AC69" s="124">
        <f>Z69</f>
        <v>0.75</v>
      </c>
      <c r="AH69" t="s">
        <v>213</v>
      </c>
      <c r="AI69" s="14">
        <v>0.62</v>
      </c>
      <c r="AK69" t="s">
        <v>213</v>
      </c>
      <c r="AL69" s="124">
        <f>AI69</f>
        <v>0.62</v>
      </c>
      <c r="AO69" t="s">
        <v>217</v>
      </c>
      <c r="AP69">
        <f t="shared" si="5"/>
        <v>0.75</v>
      </c>
    </row>
    <row r="70" spans="17:42" hidden="1"/>
    <row r="71" spans="17:42" hidden="1"/>
    <row r="72" spans="17:42" hidden="1"/>
    <row r="73" spans="17:42" hidden="1"/>
    <row r="74" spans="17:42" ht="49.5" hidden="1" customHeight="1"/>
    <row r="75" spans="17:42" hidden="1"/>
    <row r="76" spans="17:42" hidden="1"/>
    <row r="77" spans="17:42" hidden="1"/>
    <row r="78" spans="17:42" hidden="1"/>
  </sheetData>
  <sheetProtection algorithmName="SHA-512" hashValue="nInoUFV6QLo8q953Jui12lORzNFnKFEYBf2nzWDL6yw5UR5hIDoMWLNpL8POuUWd/qh2V4l6pKGlTKrT8x0J7w==" saltValue="QPNKjkfNZJkB4W2pJSt7sA==" spinCount="100000" sheet="1" selectLockedCells="1"/>
  <mergeCells count="8">
    <mergeCell ref="AK59:AL59"/>
    <mergeCell ref="Y39:Z39"/>
    <mergeCell ref="AB39:AC39"/>
    <mergeCell ref="AD39:AE39"/>
    <mergeCell ref="AG39:AH39"/>
    <mergeCell ref="Y59:Z59"/>
    <mergeCell ref="AB59:AC59"/>
    <mergeCell ref="AH59:AI59"/>
  </mergeCells>
  <phoneticPr fontId="2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Z70"/>
  <sheetViews>
    <sheetView tabSelected="1" topLeftCell="A14" zoomScale="85" zoomScaleNormal="85" workbookViewId="0">
      <selection activeCell="B34" sqref="B34"/>
    </sheetView>
  </sheetViews>
  <sheetFormatPr defaultColWidth="11.453125" defaultRowHeight="14.5"/>
  <cols>
    <col min="1" max="1" width="12.08984375" customWidth="1"/>
    <col min="2" max="2" width="12.81640625" customWidth="1"/>
    <col min="3" max="3" width="16.453125" bestFit="1" customWidth="1"/>
    <col min="4" max="256" width="9.08984375" customWidth="1"/>
    <col min="257" max="257" width="10.6328125" customWidth="1"/>
    <col min="258" max="258" width="9.08984375" customWidth="1"/>
    <col min="259" max="259" width="16.453125" bestFit="1" customWidth="1"/>
    <col min="260" max="512" width="9.08984375" customWidth="1"/>
    <col min="513" max="513" width="10.6328125" customWidth="1"/>
    <col min="514" max="514" width="9.08984375" customWidth="1"/>
    <col min="515" max="515" width="16.453125" bestFit="1" customWidth="1"/>
    <col min="516" max="768" width="9.08984375" customWidth="1"/>
    <col min="769" max="769" width="10.6328125" customWidth="1"/>
    <col min="770" max="770" width="9.08984375" customWidth="1"/>
    <col min="771" max="771" width="16.453125" bestFit="1" customWidth="1"/>
    <col min="772" max="1024" width="9.08984375" customWidth="1"/>
    <col min="1025" max="1025" width="10.6328125" customWidth="1"/>
    <col min="1026" max="1026" width="9.08984375" customWidth="1"/>
    <col min="1027" max="1027" width="16.453125" bestFit="1" customWidth="1"/>
    <col min="1028" max="1280" width="9.08984375" customWidth="1"/>
    <col min="1281" max="1281" width="10.6328125" customWidth="1"/>
    <col min="1282" max="1282" width="9.08984375" customWidth="1"/>
    <col min="1283" max="1283" width="16.453125" bestFit="1" customWidth="1"/>
    <col min="1284" max="1536" width="9.08984375" customWidth="1"/>
    <col min="1537" max="1537" width="10.6328125" customWidth="1"/>
    <col min="1538" max="1538" width="9.08984375" customWidth="1"/>
    <col min="1539" max="1539" width="16.453125" bestFit="1" customWidth="1"/>
    <col min="1540" max="1792" width="9.08984375" customWidth="1"/>
    <col min="1793" max="1793" width="10.6328125" customWidth="1"/>
    <col min="1794" max="1794" width="9.08984375" customWidth="1"/>
    <col min="1795" max="1795" width="16.453125" bestFit="1" customWidth="1"/>
    <col min="1796" max="2048" width="9.08984375" customWidth="1"/>
    <col min="2049" max="2049" width="10.6328125" customWidth="1"/>
    <col min="2050" max="2050" width="9.08984375" customWidth="1"/>
    <col min="2051" max="2051" width="16.453125" bestFit="1" customWidth="1"/>
    <col min="2052" max="2304" width="9.08984375" customWidth="1"/>
    <col min="2305" max="2305" width="10.6328125" customWidth="1"/>
    <col min="2306" max="2306" width="9.08984375" customWidth="1"/>
    <col min="2307" max="2307" width="16.453125" bestFit="1" customWidth="1"/>
    <col min="2308" max="2560" width="9.08984375" customWidth="1"/>
    <col min="2561" max="2561" width="10.6328125" customWidth="1"/>
    <col min="2562" max="2562" width="9.08984375" customWidth="1"/>
    <col min="2563" max="2563" width="16.453125" bestFit="1" customWidth="1"/>
    <col min="2564" max="2816" width="9.08984375" customWidth="1"/>
    <col min="2817" max="2817" width="10.6328125" customWidth="1"/>
    <col min="2818" max="2818" width="9.08984375" customWidth="1"/>
    <col min="2819" max="2819" width="16.453125" bestFit="1" customWidth="1"/>
    <col min="2820" max="3072" width="9.08984375" customWidth="1"/>
    <col min="3073" max="3073" width="10.6328125" customWidth="1"/>
    <col min="3074" max="3074" width="9.08984375" customWidth="1"/>
    <col min="3075" max="3075" width="16.453125" bestFit="1" customWidth="1"/>
    <col min="3076" max="3328" width="9.08984375" customWidth="1"/>
    <col min="3329" max="3329" width="10.6328125" customWidth="1"/>
    <col min="3330" max="3330" width="9.08984375" customWidth="1"/>
    <col min="3331" max="3331" width="16.453125" bestFit="1" customWidth="1"/>
    <col min="3332" max="3584" width="9.08984375" customWidth="1"/>
    <col min="3585" max="3585" width="10.6328125" customWidth="1"/>
    <col min="3586" max="3586" width="9.08984375" customWidth="1"/>
    <col min="3587" max="3587" width="16.453125" bestFit="1" customWidth="1"/>
    <col min="3588" max="3840" width="9.08984375" customWidth="1"/>
    <col min="3841" max="3841" width="10.6328125" customWidth="1"/>
    <col min="3842" max="3842" width="9.08984375" customWidth="1"/>
    <col min="3843" max="3843" width="16.453125" bestFit="1" customWidth="1"/>
    <col min="3844" max="4096" width="9.08984375" customWidth="1"/>
    <col min="4097" max="4097" width="10.6328125" customWidth="1"/>
    <col min="4098" max="4098" width="9.08984375" customWidth="1"/>
    <col min="4099" max="4099" width="16.453125" bestFit="1" customWidth="1"/>
    <col min="4100" max="4352" width="9.08984375" customWidth="1"/>
    <col min="4353" max="4353" width="10.6328125" customWidth="1"/>
    <col min="4354" max="4354" width="9.08984375" customWidth="1"/>
    <col min="4355" max="4355" width="16.453125" bestFit="1" customWidth="1"/>
    <col min="4356" max="4608" width="9.08984375" customWidth="1"/>
    <col min="4609" max="4609" width="10.6328125" customWidth="1"/>
    <col min="4610" max="4610" width="9.08984375" customWidth="1"/>
    <col min="4611" max="4611" width="16.453125" bestFit="1" customWidth="1"/>
    <col min="4612" max="4864" width="9.08984375" customWidth="1"/>
    <col min="4865" max="4865" width="10.6328125" customWidth="1"/>
    <col min="4866" max="4866" width="9.08984375" customWidth="1"/>
    <col min="4867" max="4867" width="16.453125" bestFit="1" customWidth="1"/>
    <col min="4868" max="5120" width="9.08984375" customWidth="1"/>
    <col min="5121" max="5121" width="10.6328125" customWidth="1"/>
    <col min="5122" max="5122" width="9.08984375" customWidth="1"/>
    <col min="5123" max="5123" width="16.453125" bestFit="1" customWidth="1"/>
    <col min="5124" max="5376" width="9.08984375" customWidth="1"/>
    <col min="5377" max="5377" width="10.6328125" customWidth="1"/>
    <col min="5378" max="5378" width="9.08984375" customWidth="1"/>
    <col min="5379" max="5379" width="16.453125" bestFit="1" customWidth="1"/>
    <col min="5380" max="5632" width="9.08984375" customWidth="1"/>
    <col min="5633" max="5633" width="10.6328125" customWidth="1"/>
    <col min="5634" max="5634" width="9.08984375" customWidth="1"/>
    <col min="5635" max="5635" width="16.453125" bestFit="1" customWidth="1"/>
    <col min="5636" max="5888" width="9.08984375" customWidth="1"/>
    <col min="5889" max="5889" width="10.6328125" customWidth="1"/>
    <col min="5890" max="5890" width="9.08984375" customWidth="1"/>
    <col min="5891" max="5891" width="16.453125" bestFit="1" customWidth="1"/>
    <col min="5892" max="6144" width="9.08984375" customWidth="1"/>
    <col min="6145" max="6145" width="10.6328125" customWidth="1"/>
    <col min="6146" max="6146" width="9.08984375" customWidth="1"/>
    <col min="6147" max="6147" width="16.453125" bestFit="1" customWidth="1"/>
    <col min="6148" max="6400" width="9.08984375" customWidth="1"/>
    <col min="6401" max="6401" width="10.6328125" customWidth="1"/>
    <col min="6402" max="6402" width="9.08984375" customWidth="1"/>
    <col min="6403" max="6403" width="16.453125" bestFit="1" customWidth="1"/>
    <col min="6404" max="6656" width="9.08984375" customWidth="1"/>
    <col min="6657" max="6657" width="10.6328125" customWidth="1"/>
    <col min="6658" max="6658" width="9.08984375" customWidth="1"/>
    <col min="6659" max="6659" width="16.453125" bestFit="1" customWidth="1"/>
    <col min="6660" max="6912" width="9.08984375" customWidth="1"/>
    <col min="6913" max="6913" width="10.6328125" customWidth="1"/>
    <col min="6914" max="6914" width="9.08984375" customWidth="1"/>
    <col min="6915" max="6915" width="16.453125" bestFit="1" customWidth="1"/>
    <col min="6916" max="7168" width="9.08984375" customWidth="1"/>
    <col min="7169" max="7169" width="10.6328125" customWidth="1"/>
    <col min="7170" max="7170" width="9.08984375" customWidth="1"/>
    <col min="7171" max="7171" width="16.453125" bestFit="1" customWidth="1"/>
    <col min="7172" max="7424" width="9.08984375" customWidth="1"/>
    <col min="7425" max="7425" width="10.6328125" customWidth="1"/>
    <col min="7426" max="7426" width="9.08984375" customWidth="1"/>
    <col min="7427" max="7427" width="16.453125" bestFit="1" customWidth="1"/>
    <col min="7428" max="7680" width="9.08984375" customWidth="1"/>
    <col min="7681" max="7681" width="10.6328125" customWidth="1"/>
    <col min="7682" max="7682" width="9.08984375" customWidth="1"/>
    <col min="7683" max="7683" width="16.453125" bestFit="1" customWidth="1"/>
    <col min="7684" max="7936" width="9.08984375" customWidth="1"/>
    <col min="7937" max="7937" width="10.6328125" customWidth="1"/>
    <col min="7938" max="7938" width="9.08984375" customWidth="1"/>
    <col min="7939" max="7939" width="16.453125" bestFit="1" customWidth="1"/>
    <col min="7940" max="8192" width="9.08984375" customWidth="1"/>
    <col min="8193" max="8193" width="10.6328125" customWidth="1"/>
    <col min="8194" max="8194" width="9.08984375" customWidth="1"/>
    <col min="8195" max="8195" width="16.453125" bestFit="1" customWidth="1"/>
    <col min="8196" max="8448" width="9.08984375" customWidth="1"/>
    <col min="8449" max="8449" width="10.6328125" customWidth="1"/>
    <col min="8450" max="8450" width="9.08984375" customWidth="1"/>
    <col min="8451" max="8451" width="16.453125" bestFit="1" customWidth="1"/>
    <col min="8452" max="8704" width="9.08984375" customWidth="1"/>
    <col min="8705" max="8705" width="10.6328125" customWidth="1"/>
    <col min="8706" max="8706" width="9.08984375" customWidth="1"/>
    <col min="8707" max="8707" width="16.453125" bestFit="1" customWidth="1"/>
    <col min="8708" max="8960" width="9.08984375" customWidth="1"/>
    <col min="8961" max="8961" width="10.6328125" customWidth="1"/>
    <col min="8962" max="8962" width="9.08984375" customWidth="1"/>
    <col min="8963" max="8963" width="16.453125" bestFit="1" customWidth="1"/>
    <col min="8964" max="9216" width="9.08984375" customWidth="1"/>
    <col min="9217" max="9217" width="10.6328125" customWidth="1"/>
    <col min="9218" max="9218" width="9.08984375" customWidth="1"/>
    <col min="9219" max="9219" width="16.453125" bestFit="1" customWidth="1"/>
    <col min="9220" max="9472" width="9.08984375" customWidth="1"/>
    <col min="9473" max="9473" width="10.6328125" customWidth="1"/>
    <col min="9474" max="9474" width="9.08984375" customWidth="1"/>
    <col min="9475" max="9475" width="16.453125" bestFit="1" customWidth="1"/>
    <col min="9476" max="9728" width="9.08984375" customWidth="1"/>
    <col min="9729" max="9729" width="10.6328125" customWidth="1"/>
    <col min="9730" max="9730" width="9.08984375" customWidth="1"/>
    <col min="9731" max="9731" width="16.453125" bestFit="1" customWidth="1"/>
    <col min="9732" max="9984" width="9.08984375" customWidth="1"/>
    <col min="9985" max="9985" width="10.6328125" customWidth="1"/>
    <col min="9986" max="9986" width="9.08984375" customWidth="1"/>
    <col min="9987" max="9987" width="16.453125" bestFit="1" customWidth="1"/>
    <col min="9988" max="10240" width="9.08984375" customWidth="1"/>
    <col min="10241" max="10241" width="10.6328125" customWidth="1"/>
    <col min="10242" max="10242" width="9.08984375" customWidth="1"/>
    <col min="10243" max="10243" width="16.453125" bestFit="1" customWidth="1"/>
    <col min="10244" max="10496" width="9.08984375" customWidth="1"/>
    <col min="10497" max="10497" width="10.6328125" customWidth="1"/>
    <col min="10498" max="10498" width="9.08984375" customWidth="1"/>
    <col min="10499" max="10499" width="16.453125" bestFit="1" customWidth="1"/>
    <col min="10500" max="10752" width="9.08984375" customWidth="1"/>
    <col min="10753" max="10753" width="10.6328125" customWidth="1"/>
    <col min="10754" max="10754" width="9.08984375" customWidth="1"/>
    <col min="10755" max="10755" width="16.453125" bestFit="1" customWidth="1"/>
    <col min="10756" max="11008" width="9.08984375" customWidth="1"/>
    <col min="11009" max="11009" width="10.6328125" customWidth="1"/>
    <col min="11010" max="11010" width="9.08984375" customWidth="1"/>
    <col min="11011" max="11011" width="16.453125" bestFit="1" customWidth="1"/>
    <col min="11012" max="11264" width="9.08984375" customWidth="1"/>
    <col min="11265" max="11265" width="10.6328125" customWidth="1"/>
    <col min="11266" max="11266" width="9.08984375" customWidth="1"/>
    <col min="11267" max="11267" width="16.453125" bestFit="1" customWidth="1"/>
    <col min="11268" max="11520" width="9.08984375" customWidth="1"/>
    <col min="11521" max="11521" width="10.6328125" customWidth="1"/>
    <col min="11522" max="11522" width="9.08984375" customWidth="1"/>
    <col min="11523" max="11523" width="16.453125" bestFit="1" customWidth="1"/>
    <col min="11524" max="11776" width="9.08984375" customWidth="1"/>
    <col min="11777" max="11777" width="10.6328125" customWidth="1"/>
    <col min="11778" max="11778" width="9.08984375" customWidth="1"/>
    <col min="11779" max="11779" width="16.453125" bestFit="1" customWidth="1"/>
    <col min="11780" max="12032" width="9.08984375" customWidth="1"/>
    <col min="12033" max="12033" width="10.6328125" customWidth="1"/>
    <col min="12034" max="12034" width="9.08984375" customWidth="1"/>
    <col min="12035" max="12035" width="16.453125" bestFit="1" customWidth="1"/>
    <col min="12036" max="12288" width="9.08984375" customWidth="1"/>
    <col min="12289" max="12289" width="10.6328125" customWidth="1"/>
    <col min="12290" max="12290" width="9.08984375" customWidth="1"/>
    <col min="12291" max="12291" width="16.453125" bestFit="1" customWidth="1"/>
    <col min="12292" max="12544" width="9.08984375" customWidth="1"/>
    <col min="12545" max="12545" width="10.6328125" customWidth="1"/>
    <col min="12546" max="12546" width="9.08984375" customWidth="1"/>
    <col min="12547" max="12547" width="16.453125" bestFit="1" customWidth="1"/>
    <col min="12548" max="12800" width="9.08984375" customWidth="1"/>
    <col min="12801" max="12801" width="10.6328125" customWidth="1"/>
    <col min="12802" max="12802" width="9.08984375" customWidth="1"/>
    <col min="12803" max="12803" width="16.453125" bestFit="1" customWidth="1"/>
    <col min="12804" max="13056" width="9.08984375" customWidth="1"/>
    <col min="13057" max="13057" width="10.6328125" customWidth="1"/>
    <col min="13058" max="13058" width="9.08984375" customWidth="1"/>
    <col min="13059" max="13059" width="16.453125" bestFit="1" customWidth="1"/>
    <col min="13060" max="13312" width="9.08984375" customWidth="1"/>
    <col min="13313" max="13313" width="10.6328125" customWidth="1"/>
    <col min="13314" max="13314" width="9.08984375" customWidth="1"/>
    <col min="13315" max="13315" width="16.453125" bestFit="1" customWidth="1"/>
    <col min="13316" max="13568" width="9.08984375" customWidth="1"/>
    <col min="13569" max="13569" width="10.6328125" customWidth="1"/>
    <col min="13570" max="13570" width="9.08984375" customWidth="1"/>
    <col min="13571" max="13571" width="16.453125" bestFit="1" customWidth="1"/>
    <col min="13572" max="13824" width="9.08984375" customWidth="1"/>
    <col min="13825" max="13825" width="10.6328125" customWidth="1"/>
    <col min="13826" max="13826" width="9.08984375" customWidth="1"/>
    <col min="13827" max="13827" width="16.453125" bestFit="1" customWidth="1"/>
    <col min="13828" max="14080" width="9.08984375" customWidth="1"/>
    <col min="14081" max="14081" width="10.6328125" customWidth="1"/>
    <col min="14082" max="14082" width="9.08984375" customWidth="1"/>
    <col min="14083" max="14083" width="16.453125" bestFit="1" customWidth="1"/>
    <col min="14084" max="14336" width="9.08984375" customWidth="1"/>
    <col min="14337" max="14337" width="10.6328125" customWidth="1"/>
    <col min="14338" max="14338" width="9.08984375" customWidth="1"/>
    <col min="14339" max="14339" width="16.453125" bestFit="1" customWidth="1"/>
    <col min="14340" max="14592" width="9.08984375" customWidth="1"/>
    <col min="14593" max="14593" width="10.6328125" customWidth="1"/>
    <col min="14594" max="14594" width="9.08984375" customWidth="1"/>
    <col min="14595" max="14595" width="16.453125" bestFit="1" customWidth="1"/>
    <col min="14596" max="14848" width="9.08984375" customWidth="1"/>
    <col min="14849" max="14849" width="10.6328125" customWidth="1"/>
    <col min="14850" max="14850" width="9.08984375" customWidth="1"/>
    <col min="14851" max="14851" width="16.453125" bestFit="1" customWidth="1"/>
    <col min="14852" max="15104" width="9.08984375" customWidth="1"/>
    <col min="15105" max="15105" width="10.6328125" customWidth="1"/>
    <col min="15106" max="15106" width="9.08984375" customWidth="1"/>
    <col min="15107" max="15107" width="16.453125" bestFit="1" customWidth="1"/>
    <col min="15108" max="15360" width="9.08984375" customWidth="1"/>
    <col min="15361" max="15361" width="10.6328125" customWidth="1"/>
    <col min="15362" max="15362" width="9.08984375" customWidth="1"/>
    <col min="15363" max="15363" width="16.453125" bestFit="1" customWidth="1"/>
    <col min="15364" max="15616" width="9.08984375" customWidth="1"/>
    <col min="15617" max="15617" width="10.6328125" customWidth="1"/>
    <col min="15618" max="15618" width="9.08984375" customWidth="1"/>
    <col min="15619" max="15619" width="16.453125" bestFit="1" customWidth="1"/>
    <col min="15620" max="15872" width="9.08984375" customWidth="1"/>
    <col min="15873" max="15873" width="10.6328125" customWidth="1"/>
    <col min="15874" max="15874" width="9.08984375" customWidth="1"/>
    <col min="15875" max="15875" width="16.453125" bestFit="1" customWidth="1"/>
    <col min="15876" max="16128" width="9.08984375" customWidth="1"/>
    <col min="16129" max="16129" width="10.6328125" customWidth="1"/>
    <col min="16130" max="16130" width="9.08984375" customWidth="1"/>
    <col min="16131" max="16131" width="16.453125" bestFit="1" customWidth="1"/>
    <col min="16132" max="16384" width="9.08984375" customWidth="1"/>
  </cols>
  <sheetData>
    <row r="1" spans="1:20">
      <c r="A1" s="1" t="s">
        <v>147</v>
      </c>
      <c r="P1" t="s">
        <v>221</v>
      </c>
      <c r="Q1" s="17">
        <f>'Seismic Displacement_Subduction'!B9</f>
        <v>0.8</v>
      </c>
      <c r="S1" t="s">
        <v>252</v>
      </c>
      <c r="T1">
        <f>'Seismic Displacement_Subduction'!B8</f>
        <v>0.20499999999999999</v>
      </c>
    </row>
    <row r="2" spans="1:20">
      <c r="A2" t="s">
        <v>259</v>
      </c>
      <c r="P2" t="s">
        <v>222</v>
      </c>
      <c r="Q2">
        <f>'Seismic Displacement_Subduction'!B14</f>
        <v>0</v>
      </c>
      <c r="S2" t="s">
        <v>253</v>
      </c>
      <c r="T2">
        <f>'Seismic Displacement_Subduction'!B13</f>
        <v>1</v>
      </c>
    </row>
    <row r="3" spans="1:20">
      <c r="C3" t="s">
        <v>194</v>
      </c>
      <c r="L3" t="s">
        <v>195</v>
      </c>
      <c r="P3" t="s">
        <v>223</v>
      </c>
      <c r="Q3">
        <f>'Seismic Displacement_Subduction'!B12</f>
        <v>-1</v>
      </c>
      <c r="S3" t="s">
        <v>258</v>
      </c>
      <c r="T3">
        <f>'Seismic Displacement_Subduction'!B11</f>
        <v>8</v>
      </c>
    </row>
    <row r="4" spans="1:20">
      <c r="A4" s="131" t="s">
        <v>196</v>
      </c>
      <c r="B4" s="131"/>
      <c r="D4" s="131" t="s">
        <v>197</v>
      </c>
      <c r="E4" s="131"/>
      <c r="G4" s="131"/>
      <c r="H4" s="131"/>
      <c r="J4" s="131" t="s">
        <v>196</v>
      </c>
      <c r="K4" s="131"/>
      <c r="M4" s="131" t="s">
        <v>197</v>
      </c>
      <c r="N4" s="131"/>
      <c r="Q4" s="95" t="s">
        <v>147</v>
      </c>
    </row>
    <row r="5" spans="1:20">
      <c r="A5" t="s">
        <v>185</v>
      </c>
      <c r="B5" s="13">
        <v>3.4593716300000001</v>
      </c>
      <c r="C5" s="13"/>
      <c r="D5" t="s">
        <v>185</v>
      </c>
      <c r="E5" s="13">
        <v>3.57652934</v>
      </c>
      <c r="G5" s="13"/>
      <c r="H5" s="13"/>
      <c r="J5" t="s">
        <v>185</v>
      </c>
      <c r="K5" s="13">
        <v>5.22290031</v>
      </c>
      <c r="L5" s="13"/>
      <c r="M5" t="s">
        <v>185</v>
      </c>
      <c r="N5" s="13">
        <v>2.9205045100000002</v>
      </c>
      <c r="Q5" t="s">
        <v>185</v>
      </c>
      <c r="R5">
        <f>IF($Q$1&lt;=0.6,B5,E5)*(1-$Q$2) + $Q$2*(IF($Q$1&lt;=0.6,K5,N5))</f>
        <v>3.57652934</v>
      </c>
    </row>
    <row r="6" spans="1:20">
      <c r="A6" t="s">
        <v>186</v>
      </c>
      <c r="B6" s="13">
        <v>5.0454099799999996</v>
      </c>
      <c r="C6" s="13"/>
      <c r="D6" t="s">
        <v>186</v>
      </c>
      <c r="E6" s="13">
        <v>9.3929816200000005</v>
      </c>
      <c r="G6" s="13"/>
      <c r="H6" s="13"/>
      <c r="J6" t="s">
        <v>186</v>
      </c>
      <c r="K6" s="13">
        <v>6.54738693</v>
      </c>
      <c r="L6" s="13"/>
      <c r="M6" t="s">
        <v>186</v>
      </c>
      <c r="N6" s="13">
        <v>14.718941429999999</v>
      </c>
      <c r="Q6" t="s">
        <v>186</v>
      </c>
      <c r="R6">
        <f t="shared" ref="R6:R10" si="0">IF($Q$1&lt;=0.6,B6,E6)*(1-$Q$2) + $Q$2*(IF($Q$1&lt;=0.6,K6,N6))</f>
        <v>9.3929816200000005</v>
      </c>
    </row>
    <row r="7" spans="1:20">
      <c r="A7" t="s">
        <v>187</v>
      </c>
      <c r="B7" s="13">
        <v>0.14800896999999999</v>
      </c>
      <c r="C7" s="13"/>
      <c r="D7" t="s">
        <v>187</v>
      </c>
      <c r="E7" s="13">
        <v>0.55320464000000003</v>
      </c>
      <c r="G7" s="13"/>
      <c r="H7" s="13"/>
      <c r="J7" t="s">
        <v>187</v>
      </c>
      <c r="K7" s="13">
        <v>0.43127589</v>
      </c>
      <c r="L7" s="13"/>
      <c r="M7" t="s">
        <v>187</v>
      </c>
      <c r="N7" s="13">
        <v>2.2410618900000001</v>
      </c>
      <c r="Q7" t="s">
        <v>187</v>
      </c>
      <c r="R7">
        <f t="shared" si="0"/>
        <v>0.55320464000000003</v>
      </c>
    </row>
    <row r="8" spans="1:20">
      <c r="A8" t="s">
        <v>188</v>
      </c>
      <c r="B8" s="13">
        <v>1.41175056</v>
      </c>
      <c r="C8" s="13"/>
      <c r="D8" t="s">
        <v>188</v>
      </c>
      <c r="E8" s="13">
        <v>1.63766956</v>
      </c>
      <c r="G8" s="13"/>
      <c r="H8" s="13"/>
      <c r="J8" t="s">
        <v>188</v>
      </c>
      <c r="K8" s="13">
        <v>4.7315276700000002</v>
      </c>
      <c r="L8" s="13"/>
      <c r="M8" t="s">
        <v>188</v>
      </c>
      <c r="N8" s="13">
        <v>5.4548026099999998</v>
      </c>
      <c r="Q8" t="s">
        <v>188</v>
      </c>
      <c r="R8">
        <f t="shared" si="0"/>
        <v>1.63766956</v>
      </c>
    </row>
    <row r="9" spans="1:20">
      <c r="A9" t="s">
        <v>198</v>
      </c>
      <c r="B9" s="13">
        <v>-1.0799339100000001</v>
      </c>
      <c r="C9" s="13"/>
      <c r="D9" t="s">
        <v>198</v>
      </c>
      <c r="E9" s="13">
        <v>5.3744391900000004</v>
      </c>
      <c r="G9" s="13"/>
      <c r="H9" s="13"/>
      <c r="J9" t="s">
        <v>198</v>
      </c>
      <c r="K9" s="13">
        <v>-0.87136309000000001</v>
      </c>
      <c r="L9" s="13"/>
      <c r="M9" t="s">
        <v>198</v>
      </c>
      <c r="N9" s="13">
        <v>14.81837668</v>
      </c>
      <c r="Q9" t="s">
        <v>198</v>
      </c>
      <c r="R9">
        <f t="shared" si="0"/>
        <v>5.3744391900000004</v>
      </c>
    </row>
    <row r="10" spans="1:20">
      <c r="A10" t="s">
        <v>199</v>
      </c>
      <c r="B10" s="13">
        <v>-5.1274983299999999</v>
      </c>
      <c r="C10" s="13"/>
      <c r="D10" t="s">
        <v>199</v>
      </c>
      <c r="E10" s="13">
        <v>-6.9961268199999997</v>
      </c>
      <c r="G10" s="13"/>
      <c r="H10" s="13"/>
      <c r="J10" t="s">
        <v>199</v>
      </c>
      <c r="K10" s="13">
        <v>-6.4957446399999998</v>
      </c>
      <c r="L10" s="13"/>
      <c r="M10" t="s">
        <v>199</v>
      </c>
      <c r="N10" s="13">
        <v>-8.4687967400000002</v>
      </c>
      <c r="Q10" t="s">
        <v>199</v>
      </c>
      <c r="R10">
        <f t="shared" si="0"/>
        <v>-6.9961268199999997</v>
      </c>
    </row>
    <row r="12" spans="1:20">
      <c r="A12" s="1" t="s">
        <v>200</v>
      </c>
    </row>
    <row r="13" spans="1:20">
      <c r="A13" t="s">
        <v>201</v>
      </c>
    </row>
    <row r="14" spans="1:20">
      <c r="C14" t="s">
        <v>194</v>
      </c>
      <c r="L14" t="s">
        <v>195</v>
      </c>
    </row>
    <row r="15" spans="1:20">
      <c r="A15" s="131" t="s">
        <v>202</v>
      </c>
      <c r="B15" s="131"/>
      <c r="C15" s="21"/>
      <c r="D15" s="131" t="s">
        <v>203</v>
      </c>
      <c r="E15" s="131"/>
      <c r="J15" s="131" t="s">
        <v>202</v>
      </c>
      <c r="K15" s="131"/>
      <c r="L15" s="21"/>
      <c r="M15" s="131" t="s">
        <v>203</v>
      </c>
      <c r="N15" s="131"/>
      <c r="Q15" s="1" t="s">
        <v>200</v>
      </c>
    </row>
    <row r="16" spans="1:20">
      <c r="A16" t="s">
        <v>204</v>
      </c>
      <c r="B16" s="20">
        <v>-5.0033779999999997</v>
      </c>
      <c r="C16" s="54"/>
      <c r="D16" t="s">
        <v>204</v>
      </c>
      <c r="E16" s="20">
        <v>-6.1924729999999997</v>
      </c>
      <c r="J16" t="s">
        <v>204</v>
      </c>
      <c r="K16" s="20">
        <v>-4.1262049999999997</v>
      </c>
      <c r="L16" s="54"/>
      <c r="M16" t="s">
        <v>204</v>
      </c>
      <c r="N16" s="20">
        <v>-5.2745759999999997</v>
      </c>
      <c r="Q16" t="s">
        <v>204</v>
      </c>
      <c r="R16">
        <f>IF($Q$1&lt;=0.1,B16,E16)*(1-$Q$2) + $Q$2*(IF($Q$1&lt;=0.1,K16,N16))</f>
        <v>-6.1924729999999997</v>
      </c>
    </row>
    <row r="17" spans="1:18">
      <c r="A17" t="s">
        <v>205</v>
      </c>
      <c r="B17" s="20">
        <v>-3.1795789999999999</v>
      </c>
      <c r="D17" t="s">
        <v>205</v>
      </c>
      <c r="E17" s="122">
        <f>B17</f>
        <v>-3.1795789999999999</v>
      </c>
      <c r="J17" t="s">
        <v>205</v>
      </c>
      <c r="K17" s="20">
        <v>-2.2174119999999999</v>
      </c>
      <c r="M17" t="s">
        <v>205</v>
      </c>
      <c r="N17" s="122">
        <f>K17</f>
        <v>-2.2174119999999999</v>
      </c>
      <c r="Q17" t="s">
        <v>205</v>
      </c>
      <c r="R17">
        <f t="shared" ref="R17:R25" si="1">IF($Q$1&lt;=0.1,B17,E17)*(1-$Q$2) + $Q$2*(IF($Q$1&lt;=0.1,K17,N17))</f>
        <v>-3.1795789999999999</v>
      </c>
    </row>
    <row r="18" spans="1:18">
      <c r="A18" t="s">
        <v>206</v>
      </c>
      <c r="B18" s="20">
        <v>-0.35409800000000002</v>
      </c>
      <c r="D18" t="s">
        <v>206</v>
      </c>
      <c r="E18" s="122">
        <f t="shared" ref="E18:E21" si="2">B18</f>
        <v>-0.35409800000000002</v>
      </c>
      <c r="J18" t="s">
        <v>206</v>
      </c>
      <c r="K18" s="20">
        <v>-0.200318</v>
      </c>
      <c r="M18" t="s">
        <v>206</v>
      </c>
      <c r="N18" s="122">
        <f>K18</f>
        <v>-0.200318</v>
      </c>
      <c r="Q18" t="s">
        <v>206</v>
      </c>
      <c r="R18">
        <f t="shared" si="1"/>
        <v>-0.35409800000000002</v>
      </c>
    </row>
    <row r="19" spans="1:18">
      <c r="A19" t="s">
        <v>207</v>
      </c>
      <c r="B19" s="20">
        <v>0.451372</v>
      </c>
      <c r="D19" t="s">
        <v>207</v>
      </c>
      <c r="E19" s="122">
        <f t="shared" si="2"/>
        <v>0.451372</v>
      </c>
      <c r="J19" t="s">
        <v>207</v>
      </c>
      <c r="K19" s="20">
        <v>0.21513599999999999</v>
      </c>
      <c r="M19" t="s">
        <v>207</v>
      </c>
      <c r="N19" s="122">
        <f>K19</f>
        <v>0.21513599999999999</v>
      </c>
      <c r="Q19" t="s">
        <v>207</v>
      </c>
      <c r="R19">
        <f t="shared" si="1"/>
        <v>0.451372</v>
      </c>
    </row>
    <row r="20" spans="1:18">
      <c r="A20" t="s">
        <v>208</v>
      </c>
      <c r="B20" s="20">
        <v>2.8996689999999998</v>
      </c>
      <c r="D20" t="s">
        <v>208</v>
      </c>
      <c r="E20" s="122">
        <f t="shared" si="2"/>
        <v>2.8996689999999998</v>
      </c>
      <c r="J20" t="s">
        <v>208</v>
      </c>
      <c r="K20" s="20">
        <v>2.3136269999999999</v>
      </c>
      <c r="M20" t="s">
        <v>208</v>
      </c>
      <c r="N20" s="122">
        <f>K20</f>
        <v>2.3136269999999999</v>
      </c>
      <c r="Q20" t="s">
        <v>208</v>
      </c>
      <c r="R20">
        <f t="shared" si="1"/>
        <v>2.8996689999999998</v>
      </c>
    </row>
    <row r="21" spans="1:18">
      <c r="A21" t="s">
        <v>209</v>
      </c>
      <c r="B21" s="20">
        <v>-0.14363300000000001</v>
      </c>
      <c r="D21" t="s">
        <v>209</v>
      </c>
      <c r="E21" s="122">
        <f t="shared" si="2"/>
        <v>-0.14363300000000001</v>
      </c>
      <c r="J21" t="s">
        <v>209</v>
      </c>
      <c r="K21" s="20">
        <v>-2.1602E-2</v>
      </c>
      <c r="M21" t="s">
        <v>209</v>
      </c>
      <c r="N21" s="122">
        <f>K21</f>
        <v>-2.1602E-2</v>
      </c>
      <c r="Q21" t="s">
        <v>209</v>
      </c>
      <c r="R21">
        <f t="shared" si="1"/>
        <v>-0.14363300000000001</v>
      </c>
    </row>
    <row r="22" spans="1:18">
      <c r="A22" t="s">
        <v>210</v>
      </c>
      <c r="B22" s="20">
        <v>-9.4619350000000004</v>
      </c>
      <c r="D22" t="s">
        <v>210</v>
      </c>
      <c r="E22" s="20">
        <v>2.87121</v>
      </c>
      <c r="J22" t="s">
        <v>210</v>
      </c>
      <c r="K22" s="20">
        <v>-9.4476469999999999</v>
      </c>
      <c r="M22" t="s">
        <v>210</v>
      </c>
      <c r="N22" s="20">
        <v>3.6280969999999999</v>
      </c>
      <c r="Q22" t="s">
        <v>210</v>
      </c>
      <c r="R22">
        <f t="shared" si="1"/>
        <v>2.87121</v>
      </c>
    </row>
    <row r="23" spans="1:18">
      <c r="A23" t="s">
        <v>211</v>
      </c>
      <c r="B23" s="20">
        <v>0</v>
      </c>
      <c r="C23" s="53"/>
      <c r="D23" t="s">
        <v>211</v>
      </c>
      <c r="E23" s="20">
        <v>-0.85764200000000002</v>
      </c>
      <c r="J23" t="s">
        <v>211</v>
      </c>
      <c r="K23" s="20">
        <v>0</v>
      </c>
      <c r="L23" s="53"/>
      <c r="M23" t="s">
        <v>211</v>
      </c>
      <c r="N23" s="20">
        <v>-1.101618</v>
      </c>
      <c r="Q23" t="s">
        <v>211</v>
      </c>
      <c r="R23">
        <f t="shared" si="1"/>
        <v>-0.85764200000000002</v>
      </c>
    </row>
    <row r="24" spans="1:18">
      <c r="A24" t="s">
        <v>212</v>
      </c>
      <c r="B24">
        <v>0.46233200000000002</v>
      </c>
      <c r="D24" t="s">
        <v>212</v>
      </c>
      <c r="E24" s="123">
        <f>B24</f>
        <v>0.46233200000000002</v>
      </c>
      <c r="H24" s="14"/>
      <c r="J24" t="s">
        <v>212</v>
      </c>
      <c r="K24">
        <v>0.5</v>
      </c>
      <c r="M24" t="s">
        <v>212</v>
      </c>
      <c r="N24" s="123">
        <f>K24</f>
        <v>0.5</v>
      </c>
      <c r="Q24" t="s">
        <v>212</v>
      </c>
      <c r="R24">
        <f t="shared" si="1"/>
        <v>0.46233200000000002</v>
      </c>
    </row>
    <row r="25" spans="1:18">
      <c r="A25" t="s">
        <v>213</v>
      </c>
      <c r="B25" s="14">
        <v>0.75</v>
      </c>
      <c r="D25" t="s">
        <v>213</v>
      </c>
      <c r="E25" s="124">
        <f>B25</f>
        <v>0.75</v>
      </c>
      <c r="J25" t="s">
        <v>213</v>
      </c>
      <c r="K25" s="14">
        <v>0.62</v>
      </c>
      <c r="M25" t="s">
        <v>213</v>
      </c>
      <c r="N25" s="124">
        <f>K25</f>
        <v>0.62</v>
      </c>
      <c r="Q25" t="s">
        <v>217</v>
      </c>
      <c r="R25">
        <f t="shared" si="1"/>
        <v>0.75</v>
      </c>
    </row>
    <row r="28" spans="1:18">
      <c r="A28" s="1" t="s">
        <v>214</v>
      </c>
    </row>
    <row r="29" spans="1:18">
      <c r="A29" t="s">
        <v>215</v>
      </c>
    </row>
    <row r="30" spans="1:18">
      <c r="C30" t="s">
        <v>194</v>
      </c>
      <c r="L30" t="s">
        <v>195</v>
      </c>
    </row>
    <row r="31" spans="1:18">
      <c r="A31" s="131" t="s">
        <v>202</v>
      </c>
      <c r="B31" s="131"/>
      <c r="C31" s="21"/>
      <c r="D31" s="131" t="s">
        <v>203</v>
      </c>
      <c r="E31" s="131"/>
      <c r="J31" s="131" t="s">
        <v>202</v>
      </c>
      <c r="K31" s="131"/>
      <c r="L31" s="21"/>
      <c r="M31" s="131" t="s">
        <v>203</v>
      </c>
      <c r="N31" s="131"/>
      <c r="Q31" s="1" t="s">
        <v>214</v>
      </c>
    </row>
    <row r="32" spans="1:18">
      <c r="A32" t="s">
        <v>204</v>
      </c>
      <c r="B32" s="20">
        <v>-5.6229360000000002</v>
      </c>
      <c r="C32" s="54"/>
      <c r="D32" t="s">
        <v>204</v>
      </c>
      <c r="E32" s="20">
        <v>-6.2047030000000003</v>
      </c>
      <c r="J32" t="s">
        <v>204</v>
      </c>
      <c r="K32" s="20">
        <v>-5.9129389999999997</v>
      </c>
      <c r="L32" s="54"/>
      <c r="M32" t="s">
        <v>204</v>
      </c>
      <c r="N32" s="20">
        <v>-6.3403929999999997</v>
      </c>
      <c r="Q32" t="s">
        <v>204</v>
      </c>
      <c r="R32">
        <f>IF($Q$1&lt;=0.1,B32,E32)*(1-$Q$2) + $Q$2*(IF($Q$1&lt;=0.1,K32,N32))</f>
        <v>-6.2047030000000003</v>
      </c>
    </row>
    <row r="33" spans="1:26">
      <c r="A33" t="s">
        <v>205</v>
      </c>
      <c r="B33" s="20">
        <v>-3.2596989999999999</v>
      </c>
      <c r="D33" t="s">
        <v>205</v>
      </c>
      <c r="E33" s="122">
        <f>B33</f>
        <v>-3.2596989999999999</v>
      </c>
      <c r="J33" t="s">
        <v>205</v>
      </c>
      <c r="K33" s="20">
        <v>-2.3616709999999999</v>
      </c>
      <c r="M33" t="s">
        <v>205</v>
      </c>
      <c r="N33" s="122">
        <f>K33</f>
        <v>-2.3616709999999999</v>
      </c>
      <c r="Q33" t="s">
        <v>205</v>
      </c>
      <c r="R33">
        <f t="shared" ref="R33:R40" si="3">IF($Q$1&lt;=0.1,B33,E33)*(1-$Q$2) + $Q$2*(IF($Q$1&lt;=0.1,K33,N33))</f>
        <v>-3.2596989999999999</v>
      </c>
    </row>
    <row r="34" spans="1:26">
      <c r="A34" t="s">
        <v>206</v>
      </c>
      <c r="B34" s="20">
        <v>-0.36488900000000002</v>
      </c>
      <c r="D34" t="s">
        <v>206</v>
      </c>
      <c r="E34" s="122">
        <f t="shared" ref="E34:E37" si="4">B34</f>
        <v>-0.36488900000000002</v>
      </c>
      <c r="J34" t="s">
        <v>206</v>
      </c>
      <c r="K34" s="20">
        <v>-0.22469800000000001</v>
      </c>
      <c r="M34" t="s">
        <v>206</v>
      </c>
      <c r="N34" s="122">
        <f t="shared" ref="N34:N37" si="5">K34</f>
        <v>-0.22469800000000001</v>
      </c>
      <c r="Q34" t="s">
        <v>206</v>
      </c>
      <c r="R34">
        <f t="shared" si="3"/>
        <v>-0.36488900000000002</v>
      </c>
    </row>
    <row r="35" spans="1:26">
      <c r="A35" t="s">
        <v>207</v>
      </c>
      <c r="B35" s="20">
        <v>0.47950399999999999</v>
      </c>
      <c r="D35" t="s">
        <v>207</v>
      </c>
      <c r="E35" s="122">
        <f t="shared" si="4"/>
        <v>0.47950399999999999</v>
      </c>
      <c r="J35" t="s">
        <v>207</v>
      </c>
      <c r="K35" s="20">
        <v>0.25724599999999997</v>
      </c>
      <c r="M35" t="s">
        <v>207</v>
      </c>
      <c r="N35" s="122">
        <f t="shared" si="5"/>
        <v>0.25724599999999997</v>
      </c>
      <c r="Q35" t="s">
        <v>207</v>
      </c>
      <c r="R35">
        <f t="shared" si="3"/>
        <v>0.47950399999999999</v>
      </c>
    </row>
    <row r="36" spans="1:26">
      <c r="A36" t="s">
        <v>208</v>
      </c>
      <c r="B36" s="20">
        <v>2.6232220000000002</v>
      </c>
      <c r="D36" t="s">
        <v>208</v>
      </c>
      <c r="E36" s="122">
        <f t="shared" si="4"/>
        <v>2.6232220000000002</v>
      </c>
      <c r="J36" t="s">
        <v>208</v>
      </c>
      <c r="K36" s="20">
        <v>1.967684</v>
      </c>
      <c r="M36" t="s">
        <v>208</v>
      </c>
      <c r="N36" s="122">
        <f t="shared" si="5"/>
        <v>1.967684</v>
      </c>
      <c r="Q36" t="s">
        <v>208</v>
      </c>
      <c r="R36">
        <f t="shared" si="3"/>
        <v>2.6232220000000002</v>
      </c>
    </row>
    <row r="37" spans="1:26">
      <c r="A37" t="s">
        <v>209</v>
      </c>
      <c r="B37" s="20">
        <v>-0.12447800000000001</v>
      </c>
      <c r="D37" t="s">
        <v>209</v>
      </c>
      <c r="E37" s="122">
        <f t="shared" si="4"/>
        <v>-0.12447800000000001</v>
      </c>
      <c r="J37" t="s">
        <v>209</v>
      </c>
      <c r="K37" s="20">
        <v>-2.0240000000000001E-2</v>
      </c>
      <c r="M37" t="s">
        <v>209</v>
      </c>
      <c r="N37" s="122">
        <f t="shared" si="5"/>
        <v>-2.0240000000000001E-2</v>
      </c>
      <c r="Q37" t="s">
        <v>209</v>
      </c>
      <c r="R37">
        <f t="shared" si="3"/>
        <v>-0.12447800000000001</v>
      </c>
    </row>
    <row r="38" spans="1:26">
      <c r="A38" t="s">
        <v>210</v>
      </c>
      <c r="B38" s="20">
        <v>-5.254232</v>
      </c>
      <c r="D38" t="s">
        <v>210</v>
      </c>
      <c r="E38" s="20">
        <v>2.0583840000000002</v>
      </c>
      <c r="J38" t="s">
        <v>210</v>
      </c>
      <c r="K38" s="20">
        <v>-3.8937759999999999</v>
      </c>
      <c r="M38" t="s">
        <v>210</v>
      </c>
      <c r="N38" s="20">
        <v>2.317634</v>
      </c>
      <c r="Q38" t="s">
        <v>210</v>
      </c>
      <c r="R38">
        <f t="shared" si="3"/>
        <v>2.0583840000000002</v>
      </c>
    </row>
    <row r="39" spans="1:26">
      <c r="A39" t="s">
        <v>211</v>
      </c>
      <c r="B39" s="20">
        <v>0</v>
      </c>
      <c r="C39" s="53"/>
      <c r="D39" t="s">
        <v>211</v>
      </c>
      <c r="E39" s="20">
        <v>-0.73112600000000005</v>
      </c>
      <c r="J39" t="s">
        <v>211</v>
      </c>
      <c r="K39" s="20">
        <v>0</v>
      </c>
      <c r="L39" s="53"/>
      <c r="M39" t="s">
        <v>211</v>
      </c>
      <c r="N39" s="20">
        <v>-0.90371800000000002</v>
      </c>
      <c r="Q39" t="s">
        <v>211</v>
      </c>
      <c r="R39">
        <f t="shared" si="3"/>
        <v>-0.73112600000000005</v>
      </c>
    </row>
    <row r="40" spans="1:26">
      <c r="A40" t="s">
        <v>212</v>
      </c>
      <c r="B40">
        <v>0.18568899999999999</v>
      </c>
      <c r="D40" t="s">
        <v>212</v>
      </c>
      <c r="E40" s="123">
        <f>B40</f>
        <v>0.18568899999999999</v>
      </c>
      <c r="H40" s="14"/>
      <c r="J40" t="s">
        <v>212</v>
      </c>
      <c r="K40">
        <v>0.37969900000000001</v>
      </c>
      <c r="M40" t="s">
        <v>212</v>
      </c>
      <c r="N40" s="123">
        <f>K40</f>
        <v>0.37969900000000001</v>
      </c>
      <c r="Q40" t="s">
        <v>212</v>
      </c>
      <c r="R40">
        <f t="shared" si="3"/>
        <v>0.18568899999999999</v>
      </c>
    </row>
    <row r="41" spans="1:26">
      <c r="A41" t="s">
        <v>216</v>
      </c>
      <c r="B41" s="14">
        <v>0.62324999999999997</v>
      </c>
      <c r="C41" t="s">
        <v>254</v>
      </c>
      <c r="D41" t="s">
        <v>216</v>
      </c>
      <c r="E41" s="14">
        <v>0.73391700000000004</v>
      </c>
      <c r="F41" t="s">
        <v>255</v>
      </c>
      <c r="J41" t="s">
        <v>216</v>
      </c>
      <c r="K41" s="14">
        <v>0.68351700000000004</v>
      </c>
      <c r="L41" t="s">
        <v>256</v>
      </c>
      <c r="M41" t="s">
        <v>216</v>
      </c>
      <c r="N41" s="14">
        <v>0.71945899999999996</v>
      </c>
      <c r="O41" t="s">
        <v>257</v>
      </c>
      <c r="Q41" t="s">
        <v>216</v>
      </c>
      <c r="R41">
        <f>IF(Q3&lt;=10,B41,E41)*(1-$Q$2) + $Q$2*(IF($Q$3&lt;=30,K41,N41))</f>
        <v>0.62324999999999997</v>
      </c>
    </row>
    <row r="42" spans="1:26">
      <c r="A42" t="s">
        <v>217</v>
      </c>
      <c r="B42">
        <v>0.65</v>
      </c>
      <c r="D42" t="s">
        <v>217</v>
      </c>
      <c r="E42" s="123">
        <f>B42</f>
        <v>0.65</v>
      </c>
      <c r="J42" t="s">
        <v>217</v>
      </c>
      <c r="K42">
        <v>0.53</v>
      </c>
      <c r="M42" t="s">
        <v>217</v>
      </c>
      <c r="N42" s="123">
        <f>K42</f>
        <v>0.53</v>
      </c>
      <c r="Q42" t="s">
        <v>217</v>
      </c>
      <c r="R42">
        <f t="shared" ref="R42" si="6">IF($Q$1&lt;=0.6,B42,E42)*(1-$Q$2) + $Q$2*(IF($Q$1&lt;=0.6,K42,N42))</f>
        <v>0.65</v>
      </c>
    </row>
    <row r="48" spans="1:26">
      <c r="P48" s="127" t="s">
        <v>233</v>
      </c>
      <c r="Q48" s="123">
        <f>EXP($R$16+$R$17*LN($T$1)+$R$18*LN($T$1)^2+$R$19*LN($T$1)*LN($T$2)+$R$20*LN($T$2)+$R$21*LN($T$2)^2+$R$22*$Q$1+$R$23*$Q$1^2+$R$24*$T$3)</f>
        <v>30.0780305516782</v>
      </c>
      <c r="V48" s="123" t="s">
        <v>4</v>
      </c>
      <c r="W48" s="123" t="s">
        <v>233</v>
      </c>
      <c r="X48" s="123" t="s">
        <v>234</v>
      </c>
      <c r="Y48" s="123" t="s">
        <v>235</v>
      </c>
      <c r="Z48" s="123" t="s">
        <v>269</v>
      </c>
    </row>
    <row r="49" spans="1:26">
      <c r="P49" s="127" t="s">
        <v>234</v>
      </c>
      <c r="Q49" s="123" t="e">
        <f>EXP($R$32+$R$33*LN(T1)+$R$34*LN(T1)^2+$R$35*LN(T1)*LN(T2)+$R$36*LN(T2)+$R$37*LN(T2)^2+$R$38*Q1+$R$39*Q1^2+$R$40*T3+$R$41*LN(Q3))</f>
        <v>#NUM!</v>
      </c>
      <c r="V49" s="123">
        <f>'Seismic Displacement_Subduction'!G9</f>
        <v>0.02</v>
      </c>
      <c r="W49" s="123">
        <f>EXP($R$16+$R$17*LN(V49)+$R$18*LN(V49)^2+$R$19*LN(V49)*LN($T$2)+$R$20*LN($T$2)+$R$21*LN($T$2)^2+$R$22*$Q$1+$R$23*$Q$1^2+$R$24*$T$3)</f>
        <v>530.46683350891828</v>
      </c>
      <c r="X49" s="123" t="e">
        <f>EXP($R$32+$R$33*LN(V49)+$R$34*LN(V49)^2+$R$35*LN(V49)*LN($T$2)+$R$36*LN($T$2)+$R$37*LN($T$2)^2+$R$38*$Q$1+$R$39*$Q$1^2+$R$40*$T$3+$R$41*LN($Q$3))</f>
        <v>#NUM!</v>
      </c>
      <c r="Y49" s="123">
        <f>$R$5+$R$6*LN(V49)+$R$7*LN(V49)^2+$R$8*$Q$1*LN(V49)+$R$9*$Q$1+$R$10*LN($T$2)</f>
        <v>-25.528558525970428</v>
      </c>
      <c r="Z49" s="123">
        <f>EXP(Y49)/(1+EXP(Y49))</f>
        <v>8.1863046221151509E-12</v>
      </c>
    </row>
    <row r="50" spans="1:26" s="95" customFormat="1">
      <c r="P50" s="127" t="s">
        <v>235</v>
      </c>
      <c r="Q50" s="127">
        <f>$R$5+$R$6*LN(T1)+$R$7*LN(T1)^2+$R$8*Q1*LN(T1)+$R$9*Q1+$R$10*LN(T2)</f>
        <v>-7.6963061866748452</v>
      </c>
      <c r="V50" s="123">
        <f>'Seismic Displacement_Subduction'!G10</f>
        <v>0.05</v>
      </c>
      <c r="W50" s="123">
        <f t="shared" ref="W50:W58" si="7">EXP($R$16+$R$17*LN(V50)+$R$18*LN(V50)^2+$R$19*LN(V50)*LN($T$2)+$R$20*LN($T$2)+$R$21*LN($T$2)^2+$R$22*$Q$1+$R$23*$Q$1^2+$R$24*$T$3)</f>
        <v>270.86113095709322</v>
      </c>
      <c r="X50" s="123" t="e">
        <f t="shared" ref="X50:X58" si="8">EXP($R$32+$R$33*LN(V50)+$R$34*LN(V50)^2+$R$35*LN(V50)*LN($T$2)+$R$36*LN($T$2)+$R$37*LN($T$2)^2+$R$38*$Q$1+$R$39*$Q$1^2+$R$40*$T$3+$R$41*LN($Q$3))</f>
        <v>#NUM!</v>
      </c>
      <c r="Y50" s="123">
        <f t="shared" ref="Y50:Y58" si="9">$R$5+$R$6*LN(V50)+$R$7*LN(V50)^2+$R$8*$Q$1*LN(V50)+$R$9*$Q$1+$R$10*LN($T$2)</f>
        <v>-19.222906856027084</v>
      </c>
      <c r="Z50" s="123">
        <f t="shared" ref="Z50:Z58" si="10">EXP(Y50)/(1+EXP(Y50))</f>
        <v>4.4832981799068543E-9</v>
      </c>
    </row>
    <row r="51" spans="1:26">
      <c r="V51" s="123">
        <f>'Seismic Displacement_Subduction'!G11</f>
        <v>7.0000000000000007E-2</v>
      </c>
      <c r="W51" s="123">
        <f t="shared" si="7"/>
        <v>182.27662116577378</v>
      </c>
      <c r="X51" s="123" t="e">
        <f t="shared" si="8"/>
        <v>#NUM!</v>
      </c>
      <c r="Y51" s="123">
        <f t="shared" si="9"/>
        <v>-16.674214023040697</v>
      </c>
      <c r="Z51" s="123">
        <f t="shared" si="10"/>
        <v>5.7343056080238026E-8</v>
      </c>
    </row>
    <row r="52" spans="1:26">
      <c r="V52" s="123">
        <f>'Seismic Displacement_Subduction'!G12</f>
        <v>0.08</v>
      </c>
      <c r="W52" s="123">
        <f t="shared" si="7"/>
        <v>152.33997028026894</v>
      </c>
      <c r="X52" s="123" t="e">
        <f t="shared" si="8"/>
        <v>#NUM!</v>
      </c>
      <c r="Y52" s="123">
        <f t="shared" si="9"/>
        <v>-15.628027947037317</v>
      </c>
      <c r="Z52" s="123">
        <f t="shared" si="10"/>
        <v>1.632426471423331E-7</v>
      </c>
    </row>
    <row r="53" spans="1:26">
      <c r="V53" s="123">
        <f>'Seismic Displacement_Subduction'!G13</f>
        <v>0.1</v>
      </c>
      <c r="W53" s="123">
        <f t="shared" si="7"/>
        <v>109.74064512405899</v>
      </c>
      <c r="X53" s="123" t="e">
        <f t="shared" si="8"/>
        <v>#NUM!</v>
      </c>
      <c r="Y53" s="123">
        <f t="shared" si="9"/>
        <v>-13.83572294234007</v>
      </c>
      <c r="Z53" s="123">
        <f t="shared" si="10"/>
        <v>9.799895561483042E-7</v>
      </c>
    </row>
    <row r="54" spans="1:26">
      <c r="V54" s="123">
        <f>'Seismic Displacement_Subduction'!G14</f>
        <v>0.12</v>
      </c>
      <c r="W54" s="123">
        <f t="shared" si="7"/>
        <v>81.773382355304136</v>
      </c>
      <c r="X54" s="123" t="e">
        <f t="shared" si="8"/>
        <v>#NUM!</v>
      </c>
      <c r="Y54" s="123">
        <f t="shared" si="9"/>
        <v>-12.330407455314656</v>
      </c>
      <c r="Z54" s="123">
        <f t="shared" si="10"/>
        <v>4.4154011350240334E-6</v>
      </c>
    </row>
    <row r="55" spans="1:26">
      <c r="V55" s="123">
        <f>'Seismic Displacement_Subduction'!G15</f>
        <v>0.15</v>
      </c>
      <c r="W55" s="123">
        <f t="shared" si="7"/>
        <v>55.250729073504409</v>
      </c>
      <c r="X55" s="123" t="e">
        <f t="shared" si="8"/>
        <v>#NUM!</v>
      </c>
      <c r="Y55" s="123">
        <f t="shared" si="9"/>
        <v>-10.437997942103969</v>
      </c>
      <c r="Z55" s="123">
        <f t="shared" si="10"/>
        <v>2.9296947171157169E-5</v>
      </c>
    </row>
    <row r="56" spans="1:26">
      <c r="V56" s="123">
        <f>'Seismic Displacement_Subduction'!G16</f>
        <v>0.2</v>
      </c>
      <c r="W56" s="123">
        <f t="shared" si="7"/>
        <v>31.638617911211693</v>
      </c>
      <c r="X56" s="123" t="e">
        <f t="shared" si="8"/>
        <v>#NUM!</v>
      </c>
      <c r="Y56" s="123">
        <f t="shared" si="9"/>
        <v>-7.9169613554499962</v>
      </c>
      <c r="Z56" s="123">
        <f t="shared" si="10"/>
        <v>3.6437543855112251E-4</v>
      </c>
    </row>
    <row r="57" spans="1:26">
      <c r="V57" s="123">
        <f>'Seismic Displacement_Subduction'!G17</f>
        <v>0.3</v>
      </c>
      <c r="W57" s="123">
        <f t="shared" si="7"/>
        <v>13.054120452992576</v>
      </c>
      <c r="X57" s="123" t="e">
        <f t="shared" si="8"/>
        <v>#NUM!</v>
      </c>
      <c r="Y57" s="123">
        <f t="shared" si="9"/>
        <v>-4.2082833501694958</v>
      </c>
      <c r="Z57" s="123">
        <f t="shared" si="10"/>
        <v>1.4653944591172113E-2</v>
      </c>
    </row>
    <row r="58" spans="1:26">
      <c r="A58" s="1"/>
      <c r="V58" s="123">
        <f>'Seismic Displacement_Subduction'!G18</f>
        <v>0.4</v>
      </c>
      <c r="W58" s="123">
        <f t="shared" si="7"/>
        <v>6.4907767493637651</v>
      </c>
      <c r="X58" s="123" t="e">
        <f t="shared" si="8"/>
        <v>#NUM!</v>
      </c>
      <c r="Y58" s="123">
        <f t="shared" si="9"/>
        <v>-1.4666220953568523</v>
      </c>
      <c r="Z58" s="123">
        <f t="shared" si="10"/>
        <v>0.18745658185206135</v>
      </c>
    </row>
    <row r="70" spans="1:1">
      <c r="A70" s="1"/>
    </row>
  </sheetData>
  <sheetProtection algorithmName="SHA-512" hashValue="lU2S/8IvOvVPambSS+ayhXMkoRaRUca1/0Dp9MQA2yNP/SiJ0pNAhO3htrWMVWV/esGNVvT54C9dAnOSXFcc6Q==" saltValue="BgD8RrX3QPEscly6kw4Zgw==" spinCount="100000" sheet="1" selectLockedCells="1"/>
  <mergeCells count="13">
    <mergeCell ref="A15:B15"/>
    <mergeCell ref="D15:E15"/>
    <mergeCell ref="J15:K15"/>
    <mergeCell ref="M15:N15"/>
    <mergeCell ref="A31:B31"/>
    <mergeCell ref="D31:E31"/>
    <mergeCell ref="J31:K31"/>
    <mergeCell ref="M31:N31"/>
    <mergeCell ref="A4:B4"/>
    <mergeCell ref="D4:E4"/>
    <mergeCell ref="G4:H4"/>
    <mergeCell ref="J4:K4"/>
    <mergeCell ref="M4:N4"/>
  </mergeCells>
  <phoneticPr fontId="2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Seismic Displacement_Crustal</vt:lpstr>
      <vt:lpstr>Pseudo. Seismic Coeff_ Crustal</vt:lpstr>
      <vt:lpstr>Model Coefficients_Crustal</vt:lpstr>
      <vt:lpstr>Seismic Displacement_Subduction</vt:lpstr>
      <vt:lpstr>Pseudo. Seismic Coeff_ Subduc.</vt:lpstr>
      <vt:lpstr>Model Coefficients_Subduction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Maced</dc:creator>
  <cp:lastModifiedBy>Jonathan Bray</cp:lastModifiedBy>
  <dcterms:created xsi:type="dcterms:W3CDTF">2016-06-06T22:12:46Z</dcterms:created>
  <dcterms:modified xsi:type="dcterms:W3CDTF">2024-11-16T00:16:47Z</dcterms:modified>
</cp:coreProperties>
</file>